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2720"/>
  </bookViews>
  <sheets>
    <sheet name="01.01.23 " sheetId="1" r:id="rId1"/>
  </sheets>
  <definedNames>
    <definedName name="_xlnm.Print_Area" localSheetId="0">'01.01.23 '!$A$1:$E$153</definedName>
  </definedNames>
  <calcPr calcId="124519"/>
</workbook>
</file>

<file path=xl/calcChain.xml><?xml version="1.0" encoding="utf-8"?>
<calcChain xmlns="http://schemas.openxmlformats.org/spreadsheetml/2006/main">
  <c r="D6" i="1"/>
  <c r="G6"/>
  <c r="C7"/>
  <c r="E7" s="1"/>
  <c r="F7"/>
  <c r="F6" s="1"/>
  <c r="E8"/>
  <c r="H8"/>
  <c r="D9"/>
  <c r="G9"/>
  <c r="C10"/>
  <c r="E10" s="1"/>
  <c r="F10"/>
  <c r="F9" s="1"/>
  <c r="G10"/>
  <c r="H10"/>
  <c r="E11"/>
  <c r="H11"/>
  <c r="E12"/>
  <c r="H12"/>
  <c r="E13"/>
  <c r="H13"/>
  <c r="C15"/>
  <c r="C14" s="1"/>
  <c r="D15"/>
  <c r="E15" s="1"/>
  <c r="G15"/>
  <c r="G14" s="1"/>
  <c r="E16"/>
  <c r="F16"/>
  <c r="H16" s="1"/>
  <c r="E17"/>
  <c r="F17"/>
  <c r="H17"/>
  <c r="E18"/>
  <c r="H18"/>
  <c r="E19"/>
  <c r="H19"/>
  <c r="E20"/>
  <c r="F20"/>
  <c r="G20"/>
  <c r="H20"/>
  <c r="E21"/>
  <c r="H21"/>
  <c r="D22"/>
  <c r="E22" s="1"/>
  <c r="E23"/>
  <c r="H23"/>
  <c r="C24"/>
  <c r="C22" s="1"/>
  <c r="D24"/>
  <c r="E24" s="1"/>
  <c r="F24"/>
  <c r="F22" s="1"/>
  <c r="G24"/>
  <c r="G22" s="1"/>
  <c r="H22" s="1"/>
  <c r="H24"/>
  <c r="E25"/>
  <c r="H25"/>
  <c r="D26"/>
  <c r="F26"/>
  <c r="G26"/>
  <c r="H26"/>
  <c r="C27"/>
  <c r="C26" s="1"/>
  <c r="E27"/>
  <c r="F27"/>
  <c r="H27"/>
  <c r="E28"/>
  <c r="H28"/>
  <c r="E29"/>
  <c r="H29"/>
  <c r="C30"/>
  <c r="D30"/>
  <c r="F30"/>
  <c r="G30"/>
  <c r="H30" s="1"/>
  <c r="E31"/>
  <c r="H31"/>
  <c r="E32"/>
  <c r="H32"/>
  <c r="E33"/>
  <c r="H33"/>
  <c r="E34"/>
  <c r="H34"/>
  <c r="H35"/>
  <c r="E36"/>
  <c r="H36"/>
  <c r="C38"/>
  <c r="D38"/>
  <c r="E38" s="1"/>
  <c r="H39"/>
  <c r="E40"/>
  <c r="F40"/>
  <c r="G40"/>
  <c r="G38" s="1"/>
  <c r="E41"/>
  <c r="H41"/>
  <c r="E42"/>
  <c r="H42"/>
  <c r="E43"/>
  <c r="G43"/>
  <c r="H43"/>
  <c r="E44"/>
  <c r="H44"/>
  <c r="E45"/>
  <c r="F45"/>
  <c r="F38" s="1"/>
  <c r="G45"/>
  <c r="H45"/>
  <c r="E46"/>
  <c r="G46"/>
  <c r="H46" s="1"/>
  <c r="D47"/>
  <c r="G47"/>
  <c r="C48"/>
  <c r="E48" s="1"/>
  <c r="F48"/>
  <c r="F47" s="1"/>
  <c r="G48"/>
  <c r="H48"/>
  <c r="D49"/>
  <c r="E49" s="1"/>
  <c r="C50"/>
  <c r="C49" s="1"/>
  <c r="E50"/>
  <c r="F50"/>
  <c r="G50"/>
  <c r="G49" s="1"/>
  <c r="C51"/>
  <c r="E51" s="1"/>
  <c r="F51"/>
  <c r="F49" s="1"/>
  <c r="G51"/>
  <c r="H51"/>
  <c r="C52"/>
  <c r="D52"/>
  <c r="E52" s="1"/>
  <c r="F52"/>
  <c r="E53"/>
  <c r="H53"/>
  <c r="E54"/>
  <c r="H54"/>
  <c r="E55"/>
  <c r="G55"/>
  <c r="G52" s="1"/>
  <c r="H52" s="1"/>
  <c r="E56"/>
  <c r="G56"/>
  <c r="H56"/>
  <c r="E57"/>
  <c r="H57"/>
  <c r="E58"/>
  <c r="G58"/>
  <c r="H58" s="1"/>
  <c r="E59"/>
  <c r="H59"/>
  <c r="C60"/>
  <c r="E60" s="1"/>
  <c r="F60"/>
  <c r="G60"/>
  <c r="H60"/>
  <c r="C61"/>
  <c r="D61"/>
  <c r="E61" s="1"/>
  <c r="F61"/>
  <c r="H62"/>
  <c r="E63"/>
  <c r="F63"/>
  <c r="G63"/>
  <c r="G61" s="1"/>
  <c r="H61" s="1"/>
  <c r="D65"/>
  <c r="C66"/>
  <c r="E66" s="1"/>
  <c r="F66"/>
  <c r="F65" s="1"/>
  <c r="G66"/>
  <c r="H66"/>
  <c r="C67"/>
  <c r="E67"/>
  <c r="F67"/>
  <c r="G67"/>
  <c r="H67" s="1"/>
  <c r="E69"/>
  <c r="H69"/>
  <c r="E70"/>
  <c r="H70"/>
  <c r="E71"/>
  <c r="H71"/>
  <c r="E72"/>
  <c r="G72"/>
  <c r="H72"/>
  <c r="E73"/>
  <c r="H73"/>
  <c r="E74"/>
  <c r="H74"/>
  <c r="E75"/>
  <c r="H75"/>
  <c r="E76"/>
  <c r="H76"/>
  <c r="E77"/>
  <c r="H77"/>
  <c r="E78"/>
  <c r="H78"/>
  <c r="E79"/>
  <c r="H79"/>
  <c r="E80"/>
  <c r="H80"/>
  <c r="E81"/>
  <c r="H81"/>
  <c r="E82"/>
  <c r="H82"/>
  <c r="E83"/>
  <c r="H83"/>
  <c r="E84"/>
  <c r="H84"/>
  <c r="D85"/>
  <c r="D68" s="1"/>
  <c r="E86"/>
  <c r="H86"/>
  <c r="E87"/>
  <c r="H87"/>
  <c r="E88"/>
  <c r="H88"/>
  <c r="C89"/>
  <c r="C85" s="1"/>
  <c r="C68" s="1"/>
  <c r="E89"/>
  <c r="F89"/>
  <c r="G89"/>
  <c r="G85" s="1"/>
  <c r="E90"/>
  <c r="F90"/>
  <c r="H90"/>
  <c r="E91"/>
  <c r="H91"/>
  <c r="C92"/>
  <c r="E92"/>
  <c r="F92"/>
  <c r="G92"/>
  <c r="H92" s="1"/>
  <c r="E93"/>
  <c r="H93"/>
  <c r="C94"/>
  <c r="E94" s="1"/>
  <c r="F94"/>
  <c r="H94" s="1"/>
  <c r="E95"/>
  <c r="H95"/>
  <c r="E96"/>
  <c r="H96"/>
  <c r="E97"/>
  <c r="H97"/>
  <c r="E98"/>
  <c r="H98"/>
  <c r="H100"/>
  <c r="E102"/>
  <c r="H102"/>
  <c r="E103"/>
  <c r="H103"/>
  <c r="E104"/>
  <c r="H104"/>
  <c r="C105"/>
  <c r="E105"/>
  <c r="F105"/>
  <c r="G105"/>
  <c r="E106"/>
  <c r="H106"/>
  <c r="C107"/>
  <c r="E107" s="1"/>
  <c r="F107"/>
  <c r="G107"/>
  <c r="H107"/>
  <c r="E108"/>
  <c r="F108"/>
  <c r="H108" s="1"/>
  <c r="D109"/>
  <c r="D101" s="1"/>
  <c r="D99" s="1"/>
  <c r="C110"/>
  <c r="E110" s="1"/>
  <c r="F110"/>
  <c r="F109" s="1"/>
  <c r="E111"/>
  <c r="H111"/>
  <c r="C112"/>
  <c r="E112" s="1"/>
  <c r="F112"/>
  <c r="G112"/>
  <c r="H112"/>
  <c r="E113"/>
  <c r="H113"/>
  <c r="E114"/>
  <c r="H114"/>
  <c r="C115"/>
  <c r="E115"/>
  <c r="F115"/>
  <c r="G115"/>
  <c r="H115" s="1"/>
  <c r="C116"/>
  <c r="E116" s="1"/>
  <c r="F116"/>
  <c r="G116"/>
  <c r="H116"/>
  <c r="E117"/>
  <c r="H117"/>
  <c r="E118"/>
  <c r="G118"/>
  <c r="H118" s="1"/>
  <c r="C119"/>
  <c r="E119" s="1"/>
  <c r="F119"/>
  <c r="G119"/>
  <c r="H119"/>
  <c r="E120"/>
  <c r="H120"/>
  <c r="C121"/>
  <c r="E121"/>
  <c r="F121"/>
  <c r="G121"/>
  <c r="H121" s="1"/>
  <c r="E122"/>
  <c r="H122"/>
  <c r="E123"/>
  <c r="H123"/>
  <c r="E124"/>
  <c r="H124"/>
  <c r="C125"/>
  <c r="E125" s="1"/>
  <c r="F125"/>
  <c r="G125"/>
  <c r="H125"/>
  <c r="D128"/>
  <c r="F128"/>
  <c r="F127" s="1"/>
  <c r="G128"/>
  <c r="G127" s="1"/>
  <c r="E129"/>
  <c r="H129"/>
  <c r="E130"/>
  <c r="H130"/>
  <c r="E131"/>
  <c r="H131"/>
  <c r="E132"/>
  <c r="H132"/>
  <c r="E133"/>
  <c r="H133"/>
  <c r="E134"/>
  <c r="H134"/>
  <c r="E135"/>
  <c r="H135"/>
  <c r="C136"/>
  <c r="C128" s="1"/>
  <c r="C127" s="1"/>
  <c r="E136"/>
  <c r="H136"/>
  <c r="E137"/>
  <c r="H137"/>
  <c r="E138"/>
  <c r="H138"/>
  <c r="C140"/>
  <c r="C139" s="1"/>
  <c r="D140"/>
  <c r="D139" s="1"/>
  <c r="E140"/>
  <c r="F140"/>
  <c r="F139" s="1"/>
  <c r="G140"/>
  <c r="H140" s="1"/>
  <c r="E141"/>
  <c r="H141"/>
  <c r="E142"/>
  <c r="H142"/>
  <c r="C143"/>
  <c r="D143"/>
  <c r="E143"/>
  <c r="F143"/>
  <c r="G143"/>
  <c r="H143" s="1"/>
  <c r="E144"/>
  <c r="H144"/>
  <c r="C145"/>
  <c r="D145"/>
  <c r="E145"/>
  <c r="F145"/>
  <c r="G145"/>
  <c r="H145" s="1"/>
  <c r="E146"/>
  <c r="H146"/>
  <c r="C147"/>
  <c r="D147"/>
  <c r="E147"/>
  <c r="F147"/>
  <c r="G147"/>
  <c r="H147" s="1"/>
  <c r="E148"/>
  <c r="H148"/>
  <c r="H128" l="1"/>
  <c r="E68"/>
  <c r="G68"/>
  <c r="G37"/>
  <c r="H38"/>
  <c r="F126"/>
  <c r="H49"/>
  <c r="E26"/>
  <c r="H127"/>
  <c r="E139"/>
  <c r="C126"/>
  <c r="E128"/>
  <c r="F101"/>
  <c r="F99" s="1"/>
  <c r="H47"/>
  <c r="F37"/>
  <c r="H9"/>
  <c r="H6"/>
  <c r="G139"/>
  <c r="H139" s="1"/>
  <c r="D127"/>
  <c r="G109"/>
  <c r="H109" s="1"/>
  <c r="C109"/>
  <c r="E109" s="1"/>
  <c r="F85"/>
  <c r="F68" s="1"/>
  <c r="G65"/>
  <c r="C65"/>
  <c r="C47"/>
  <c r="E47" s="1"/>
  <c r="D37"/>
  <c r="F15"/>
  <c r="D14"/>
  <c r="E14" s="1"/>
  <c r="C9"/>
  <c r="E9" s="1"/>
  <c r="C6"/>
  <c r="G5"/>
  <c r="H110"/>
  <c r="H105"/>
  <c r="H89"/>
  <c r="E85"/>
  <c r="H63"/>
  <c r="H55"/>
  <c r="H50"/>
  <c r="H40"/>
  <c r="H7"/>
  <c r="F64" l="1"/>
  <c r="C5"/>
  <c r="E6"/>
  <c r="E65"/>
  <c r="E37"/>
  <c r="C37"/>
  <c r="G101"/>
  <c r="G126"/>
  <c r="H126" s="1"/>
  <c r="H37"/>
  <c r="H68"/>
  <c r="G4"/>
  <c r="F14"/>
  <c r="H15"/>
  <c r="H65"/>
  <c r="E127"/>
  <c r="D126"/>
  <c r="D5"/>
  <c r="C101"/>
  <c r="H85"/>
  <c r="D4" l="1"/>
  <c r="E5"/>
  <c r="H14"/>
  <c r="F5"/>
  <c r="G99"/>
  <c r="H101"/>
  <c r="C4"/>
  <c r="C99"/>
  <c r="E101"/>
  <c r="E126"/>
  <c r="D64"/>
  <c r="H99" l="1"/>
  <c r="G64"/>
  <c r="D149"/>
  <c r="E4"/>
  <c r="E99"/>
  <c r="C64"/>
  <c r="C149" s="1"/>
  <c r="F4"/>
  <c r="H5"/>
  <c r="F149" l="1"/>
  <c r="H4"/>
  <c r="E64"/>
  <c r="E149"/>
  <c r="H64"/>
  <c r="G149"/>
  <c r="H149" s="1"/>
</calcChain>
</file>

<file path=xl/sharedStrings.xml><?xml version="1.0" encoding="utf-8"?>
<sst xmlns="http://schemas.openxmlformats.org/spreadsheetml/2006/main" count="258" uniqueCount="257">
  <si>
    <t>А.М. Киселёва</t>
  </si>
  <si>
    <t xml:space="preserve">                   Руководитель финансового управления района</t>
  </si>
  <si>
    <t>ВСЕГО ДОХОДОВ: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</si>
  <si>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</si>
  <si>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</si>
  <si>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</t>
  </si>
  <si>
    <t>2 19  00000 00 0000 150</t>
  </si>
  <si>
    <t>Доходы бюджетов муниципальных районов от возврата бюджетными учреждениями остатков субсидий прошлых лет</t>
  </si>
  <si>
    <t>2 18  05010 05 0000 150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</si>
  <si>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</si>
  <si>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2 18  00000 00 0000 150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</si>
  <si>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</si>
  <si>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2 07 05020 05 0000 150</t>
  </si>
  <si>
    <t xml:space="preserve">Прочие безвозмездные поступления </t>
  </si>
  <si>
    <t>2 07 00000 00 0000 150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</si>
  <si>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</si>
  <si>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Иные межбюджетные трансферты, на комплектование книжных фондов муниципальных бибилиотек</t>
  </si>
  <si>
    <t>Прочие межбюджетные трансферты, передаваемые бюджетам муниципальных районов</t>
  </si>
  <si>
    <t>2 02 49999 05 0000 150</t>
  </si>
  <si>
    <t>Прочие межбюджетные трансферты, передаваемые бюджетам</t>
  </si>
  <si>
    <t>2 02 49999 00 0000 150</t>
  </si>
  <si>
    <t xml:space="preserve">Межбюджетные трансферты по полномочиям по изъятию земельных участков для муниципальных нужд
</t>
  </si>
  <si>
    <t>Межбюджетные трансферты по передаваемым полномочиям по бухгалтерскому учету</t>
  </si>
  <si>
    <t>Межбюджетные трансферты по передаваемым полномочиям по благоустройству общественных  территорий</t>
  </si>
  <si>
    <t>Межбюджетные трансферты на осуществление части полномочий по вопросу участия в предупреждении и ликвидации последствий чрезвычайных ситуаций в границах поселений</t>
  </si>
  <si>
    <t>Межбюджетные трансферты по передаваемым полномочиям по осуществлению внутреннего муниципального финасового контроля</t>
  </si>
  <si>
    <t>Межбюджетные трансферты по передаваемым полномочиям в части реализации мероприятий по предоставлению мер соц. поддержки в рамках реализации муниц. программы "Обеспечение жильем молодых семей в Чагодощенском муниципальном районе на 2016-2018 годы и на перид до 2021 года"</t>
  </si>
  <si>
    <t>Межбюджетные трансферты по передаваемым полномочиям по осуществлению внешнего муниципального контроля (КСО)</t>
  </si>
  <si>
    <t>Межбюджетные трансферты по передаваемым полномочиям по правовому обеспечению</t>
  </si>
  <si>
    <t xml:space="preserve">Межбюджетные трансферты по передаваемым полномочиям по размещению муниципального заказа </t>
  </si>
  <si>
    <t>Межбюджетные трансферты по передаваемым полномочиям в области градостроительной деятельности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</si>
  <si>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</si>
  <si>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</si>
  <si>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</si>
  <si>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</si>
  <si>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Иные межбюджетные трансферты</t>
  </si>
  <si>
    <t>2 02 40000 00 0000 150</t>
  </si>
  <si>
    <t>Единая субвенция местным бюджетам из бюджета субъекта РФ</t>
  </si>
  <si>
    <t>2 02 36900 05 0000 150</t>
  </si>
  <si>
    <t>Субвенции бюджетам муниципальных районов на проведение Всероссийской переписи населения 2020 года</t>
  </si>
  <si>
    <t>2 02 35469 05 0000 150</t>
  </si>
  <si>
    <t>Субвенции бюджетам муниципальных районов на обеспечение жильем отдельных категорий граждан, установленных  Федеральным законами от 12 января 1995 года N  5-ФЗ "О ветеранах" и от 24 ноября 1995 года № 181-ФЗ "О социальной защите инвалидов в Российской Федерации"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</si>
  <si>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</si>
  <si>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 ветеранах", в соответствии с Указом Президента Российской Федерации от 7 мая 2008 года N 714 "Об обеспечении жильем ветеранов Великой Отечественной войны 1941-1945 годов"</t>
  </si>
  <si>
    <t>2 02 35134 05 0000 150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</si>
  <si>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</si>
  <si>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</si>
  <si>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</si>
  <si>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</si>
  <si>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закономот 24 ноября 1995 года № 181-ФЗ "О социальной защите инвалидов в Российской Федерации"</t>
  </si>
  <si>
    <t>2 02 35176 05 0000 150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</si>
  <si>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закономот 12 января 1995 года № 5-ФЗ "О ветеранах"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</si>
  <si>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</si>
  <si>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</si>
  <si>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на предоставление компенсацию, выплачиваемой родителям (законным представителям) детей, посещающих мунициальные и частные образовательные учреждения организации, реализующие образовательные программы дошкольного образования</t>
  </si>
  <si>
    <t>субвенции на содержание детей с ограниченными возможностями здоровья за время их пребывания в муниципальной организации, осуществляющей образовательную деятельность, по адаптированным основным общеобразовательным программам</t>
  </si>
  <si>
    <t>субвенции на предоставление единовременных выплат педагогическим работникам  в соответствии с законом области от 28 апреля 2010 года № 2271-ОЗ "О единовременных выплатах педагогическим работникам, проживающим и работающим в сельской местности"</t>
  </si>
  <si>
    <t>субвенции на оплату родителям за дистанционное обучение</t>
  </si>
  <si>
    <t>субвенции на обеспечение льготным питанием обучающихся по очной форме обучения в муницип. общеобраз. организациях из числа детей из малоимущих семей, многодетных семей, детей сост. на учете  в противотуб. диспансере соотв.с частью 5.2 статьи 2 Закона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</si>
  <si>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субвенции на 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 в части предоставления денежных выплат на проезд на внутригородском транспорте (кроме такси), а также в автобусах пригородных и внутрирайонных линий  и приобретение комплекта детской одежды  для посещения школьных занятий, спортивной формы для занятий физической культурой</t>
  </si>
  <si>
    <t>субвенции на осуществление отдельных государственных полномочий в соотв.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</si>
  <si>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Субвенции на передаваемые полномочия в области образования</t>
  </si>
  <si>
    <t>субсидии на осуществление отдельных государственных полномочий в соответствии с законом области от 10 декабря 2018 года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</si>
  <si>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субвенции на обеспечение дошкольного образования в муниципальных дошкольных образовательных организациях области, начального общего, основного общего, среднего общего образования в муниц. общеобразовательных организациях, обеспечение дополнительного образования детей  в муниципальных общеобразовательных организациях</t>
  </si>
  <si>
    <t xml:space="preserve">субвенции на 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 </t>
  </si>
  <si>
    <t>субвенции по организации мероприятий при осуществлении деятельности по обращению с животными без владельцев</t>
  </si>
  <si>
    <t>субвенции на осуществление отдельных государственных полномочий в сфере архивного дела</t>
  </si>
  <si>
    <t>субвенции на 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 услуг</t>
  </si>
  <si>
    <t xml:space="preserve">субвенции бюджетам муниципальных образований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 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</si>
  <si>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</si>
  <si>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</si>
  <si>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ежемесячное денежное вознаграждение за классное руководство</t>
  </si>
  <si>
    <t>2 02 30021 05 0000 150</t>
  </si>
  <si>
    <t xml:space="preserve">Субвенции бюджетам бюджетной системы Российской Федерации </t>
  </si>
  <si>
    <t>2 02 30000 00 0000 150</t>
  </si>
  <si>
    <t>Субсидии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программам.</t>
  </si>
  <si>
    <t>субсидии на реализацию проекта "Народный бюджет"</t>
  </si>
  <si>
    <t>субсидии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</si>
  <si>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субсидии на обеспечение развития и укрепления материально-технической базы сельских библиотек</t>
  </si>
  <si>
    <t>субсидии на реализацию мероприятий по модернизации библиотек в части комплектования книжных фондов библиотек муниц. образований</t>
  </si>
  <si>
    <t>субсидии на реализацию мероприятий по модернизации библиотек в части комплектования книжных фондов библиотек муниц. образований, за исключением расходов, предусмотренных на софинансирование субсидий из федерального бюджета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</si>
  <si>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</si>
  <si>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 xml:space="preserve">субсидии на организацию и проведение на территории муниципального образования по месту жительства и (или) месту отдыха организованных занятий граждан физической культурой </t>
  </si>
  <si>
    <t>субсидии 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</si>
  <si>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на развитие мобильной торговли в малонаселенных и (или) труднодоступных населенных пунктах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</si>
  <si>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</si>
  <si>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мероприятий по обеспечению условий для организации питания обучающихся в муниципальных образовательных организациях</t>
  </si>
  <si>
    <t>субсидии на строительство, реконструкцию, капитальный ремонт и ремонт общеобразовательных организаций муниципальной собственности</t>
  </si>
  <si>
    <t>Прочие субсидии бюджетам муниципальных районов</t>
  </si>
  <si>
    <t>2 02 29999 05 0000 150</t>
  </si>
  <si>
    <t>Субсидии бюджетам муниципальных районов на софинансирование капитальных вложений в оъекты государственной (муниципальной) собственности в рамках обеспечения устойчивого развития территорий</t>
  </si>
  <si>
    <t>2 02 27567 05 0000 150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</si>
  <si>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</si>
  <si>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2 02 25786 05 0000 150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</si>
  <si>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</si>
  <si>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</si>
  <si>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 xml:space="preserve">Субсидии бюджетам муниципальных районов на поддержку отрасли культуры </t>
  </si>
  <si>
    <t>2 02 25519 05 0000 150</t>
  </si>
  <si>
    <t xml:space="preserve">Субсидии бюджетам муниципальных районов на проведение комплексных кадастровых работ </t>
  </si>
  <si>
    <t>2 02 25511 05 0000 150</t>
  </si>
  <si>
    <t>Субсидии бюджетам муниципальных районов на реализацию мероприятий по обеспечению жильем молодых семей</t>
  </si>
  <si>
    <t>2 02 25497 05 0000 150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</si>
  <si>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</si>
  <si>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</si>
  <si>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создание новых мест дополнительного образования детей</t>
  </si>
  <si>
    <t>2 02 25491 05 0000 150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</si>
  <si>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</si>
  <si>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</si>
  <si>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</si>
  <si>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2 02 25228 05 0000 150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</si>
  <si>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</si>
  <si>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</si>
  <si>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</si>
  <si>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2 02 25169 05 0000 150</t>
  </si>
  <si>
    <t>Субсидии бюджетам на создние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</si>
  <si>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</si>
  <si>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</si>
  <si>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</si>
  <si>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</si>
  <si>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</si>
  <si>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</si>
  <si>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</si>
  <si>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бюджетной системы  Российской Федерации (межбюджетные субсидии)</t>
  </si>
  <si>
    <t>2 02 20000 00 0000 150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</si>
  <si>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</si>
  <si>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2 02 15009 05 0000 150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</si>
  <si>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</si>
  <si>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</si>
  <si>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 xml:space="preserve">Дотации бюджетам бюджетной системы Российской Федерации </t>
  </si>
  <si>
    <t>2 02 10000 00 0000 150</t>
  </si>
  <si>
    <t>БЕЗВОЗМЕЗДНЫЕ ПОСТУПЛЕНИЯ:</t>
  </si>
  <si>
    <t>2 00 00000 00 0000 000</t>
  </si>
  <si>
    <t>Прочие неналоговые доходы</t>
  </si>
  <si>
    <t>1 17 05050 05 0000 180</t>
  </si>
  <si>
    <t>Невыясненные поступления</t>
  </si>
  <si>
    <t>1 17 01050 05 0000 180</t>
  </si>
  <si>
    <t>ПРОЧИЕ НЕНАЛОГОВЫЕ ДОХОДЫ</t>
  </si>
  <si>
    <t>1 17 00000 00 0000 000</t>
  </si>
  <si>
    <t>ШТРАФЫ, САНКЦИИ, ВОЗМЕЩЕНИЕ УЩЕРБА</t>
  </si>
  <si>
    <t>1 16 00000 00 0000 000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</si>
  <si>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учреждений)</t>
  </si>
  <si>
    <t>114 06 02505 0000 430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</si>
  <si>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</si>
  <si>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</si>
  <si>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</t>
  </si>
  <si>
    <t>1 14 06013 10 0000 430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</si>
  <si>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</si>
  <si>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1 14 06013 05 0000 430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</si>
  <si>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 по указанному имуществу  </t>
  </si>
  <si>
    <t>1 14 02053 05 0000 440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</si>
  <si>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 </t>
  </si>
  <si>
    <t>1 14 02053 05 0000 410</t>
  </si>
  <si>
    <t>ДОХОДЫ ОТ ПРОДАЖИ МАТЕРИАЛЬНЫХ И НЕМАТЕРИАЛЬНЫХ АКТИВОВ</t>
  </si>
  <si>
    <t>1 14 00000 00 0000 000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</si>
  <si>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</si>
  <si>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</si>
  <si>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услуг(работ)получателями средств бюджетов муниципальных районов</t>
  </si>
  <si>
    <t>1 13 01995 05 0000 130</t>
  </si>
  <si>
    <t>ДОХОДЫ ОТ ОКАЗАНИЯ ПЛАТНЫХ УСЛУГ И КОМПЕНСАЦИИ ЗАТРАТ ГОСУДАРСТВА</t>
  </si>
  <si>
    <t>1 13 00000 00 0000 000</t>
  </si>
  <si>
    <t>Плата за негативное воздействие на окружающую среду</t>
  </si>
  <si>
    <t>1 12 01000 01 0000 120</t>
  </si>
  <si>
    <t>ПЛАТЕЖИ ПРИ ПОЛЬЗОВАНИИ ПРИРОДНЫМИ РЕСУРСАМИ</t>
  </si>
  <si>
    <t>1 12 00000 00 0000 000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</si>
  <si>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</si>
  <si>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</si>
  <si>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Доходы от сдачи в аренду имущества, составляющего казну  муниципальных районов (за исключением земельных участков)</t>
  </si>
  <si>
    <t>1 11 05075 05 0000 120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</si>
  <si>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</si>
  <si>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</si>
  <si>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Доходы, получаемые в виде арендной платы ,а также средства от продажи права на заключение договоров аренды за земли ,находящиеся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</si>
  <si>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1 11 05025 05 0000 120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</si>
  <si>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 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</si>
  <si>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</si>
  <si>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 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</si>
  <si>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</si>
  <si>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, а так же средства от продажи права на заключение договоров аренды указанных земельных участков</t>
  </si>
  <si>
    <t>1 11 05013 05 0000 120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</si>
  <si>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</si>
  <si>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1 11 01050 05 0000 120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</si>
  <si>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</si>
  <si>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</si>
  <si>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НЕНАЛОГОВЫЕ ДОХОДЫ</t>
  </si>
  <si>
    <t>Налог с продаж</t>
  </si>
  <si>
    <t>1 09 06010 05 0000 110</t>
  </si>
  <si>
    <t>Налог на имущество предприятий</t>
  </si>
  <si>
    <t>1 09 04010 05 0000 110</t>
  </si>
  <si>
    <t>Налог с имущества, переходящего в порядке наследования или дарения</t>
  </si>
  <si>
    <t>1 09 04040 01 0000 110</t>
  </si>
  <si>
    <t>Прочие местные налоги и сборы,мобилизуемые на территориях муниципальных районов</t>
  </si>
  <si>
    <t>1 09 07053 05 0000 110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</si>
  <si>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</si>
  <si>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</si>
  <si>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Налог на прибыль</t>
  </si>
  <si>
    <t>1 09 01030 05 0000 110</t>
  </si>
  <si>
    <t>ЗАДОЛЖЕННОСТЬ И ПЕРЕРАСЧЕТЫ ПО ОТМЕНЕННЫМ НАЛОГАМ, СБОРАМ И ИНЫМ ОБЯЗАТЕЛЬНЫМ ПЛАТЕЖАМ</t>
  </si>
  <si>
    <t>1 09 00000 00 0000 000</t>
  </si>
  <si>
    <t>Государственная пошлина за выдачу разрешения на установку рекламной конструкции</t>
  </si>
  <si>
    <t>1 08 07150 01 0000 110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</si>
  <si>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</si>
  <si>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1 08 07140 01 0000 110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</si>
  <si>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</si>
  <si>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1 08 03010 01 0000 110</t>
  </si>
  <si>
    <t>ГОСУДАРСТВЕННАЯ ПОШЛИНА</t>
  </si>
  <si>
    <t>1 08 00000 00 0000 000</t>
  </si>
  <si>
    <t>Налог на имущество по имуществу,не входящему в Единую систему газоснабжения</t>
  </si>
  <si>
    <t>1 06 02010 02 0000 110</t>
  </si>
  <si>
    <t>Налог на имущество организаций</t>
  </si>
  <si>
    <t>1 06 02000 02 0000 110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</si>
  <si>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Федерациии и применяемым к объектам налогобложения, расположенным в границах межселенных территорий</t>
  </si>
  <si>
    <t>1 06 06023 05 0000 110</t>
  </si>
  <si>
    <t>НАЛОГИ НА ИМУЩЕСТВО</t>
  </si>
  <si>
    <t>1 06 00000 00 0000 000</t>
  </si>
  <si>
    <t>Налог, взимаемый с применением патентной системы налогообложения</t>
  </si>
  <si>
    <t>1 05 04000 00 0000 110</t>
  </si>
  <si>
    <t>Единый сельскохозяйственный налог</t>
  </si>
  <si>
    <t>1 05 03000 00 0000 110</t>
  </si>
  <si>
    <t>Единый налог на вмененный доход для отдельных видов деятельности</t>
  </si>
  <si>
    <t>1 05 02000 00 0000 110</t>
  </si>
  <si>
    <t>Упрощенная система налогообложения (минимальный налог)</t>
  </si>
  <si>
    <t>1 05 01050 00 0000 110</t>
  </si>
  <si>
    <t>Налог, взимаемый с налогоплательщиков, выбравших в качестве объекта  налогобложения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</si>
  <si>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</si>
  <si>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 налогобложения доходы</t>
  </si>
  <si>
    <t>1 05 01010 01 0000 110</t>
  </si>
  <si>
    <t>Налог, взимаемый в связи с применением упрощенной системы налогобложения</t>
  </si>
  <si>
    <t>1 05 01000 00 0000 000</t>
  </si>
  <si>
    <t>НАЛОГИ НА СОВОКУПНЫЙ ДОХОД</t>
  </si>
  <si>
    <t>1 05 00000 00 0000 000</t>
  </si>
  <si>
    <t>1 03 02251 01 0000 110</t>
  </si>
  <si>
    <t>1 03 02241 01 0000 110</t>
  </si>
  <si>
    <t>1 03 02231 01 0000 110</t>
  </si>
  <si>
    <t>Акцизы по подакцизным товарам (продукции), производимые на территории РФ</t>
  </si>
  <si>
    <t>1 03 02000 01 0000 110</t>
  </si>
  <si>
    <t>НАЛОГИ НА ТОВАРЫ (РАБОТЫ,УСЛУГИ), РЕАЛИЗУЕМЫЕ НА ТЕРРИТОРИИ РФ</t>
  </si>
  <si>
    <t>1 03 00000 00 0000 000</t>
  </si>
  <si>
    <t>Налог на доходы физических лиц (патент)</t>
  </si>
  <si>
    <t>1 01 02040 01 0000 110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</si>
  <si>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</si>
  <si>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</si>
  <si>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</si>
  <si>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</si>
  <si>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НАЛОГОВЫЕ ДОХОДЫ</t>
  </si>
  <si>
    <t>НАЛОГОВЫЕ И НЕНАЛОГОВЫЕ ДОХОДЫ</t>
  </si>
  <si>
    <t>1 00 00000 00 0000 000</t>
  </si>
  <si>
    <t xml:space="preserve"> +, -</t>
  </si>
  <si>
    <t>план на 01.01.2023        для Web</t>
  </si>
  <si>
    <t>Утверждено по бюджету на 01.01.2023</t>
  </si>
  <si>
    <t>%                 исполн.</t>
  </si>
  <si>
    <t xml:space="preserve">Исполнение на 01.01.2023 года </t>
  </si>
  <si>
    <t xml:space="preserve">Бюджет на 2022 год </t>
  </si>
  <si>
    <t>Наименование доходов</t>
  </si>
  <si>
    <t xml:space="preserve">  </t>
  </si>
  <si>
    <t>(тыс. рублей)</t>
  </si>
  <si>
    <t>сверить с межбюджеткой безвозмездные</t>
  </si>
  <si>
    <t>графа С = графа F</t>
  </si>
  <si>
    <t xml:space="preserve">Анализ исполнения бюджета Чагодощенского муниципального района по доходам                                                                               на 01.01.2023 года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</si>
</sst>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"/>
    <numFmt numFmtId="166" formatCode="0.0000"/>
  </numFmts>
  <fonts count="19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4" fontId="3" fillId="0" borderId="0" xfId="1" applyNumberFormat="1" applyFont="1"/>
    <xf numFmtId="4" fontId="2" fillId="0" borderId="0" xfId="1" applyNumberFormat="1" applyFont="1" applyFill="1"/>
    <xf numFmtId="4" fontId="2" fillId="0" borderId="0" xfId="1" applyNumberFormat="1" applyFont="1"/>
    <xf numFmtId="164" fontId="2" fillId="0" borderId="0" xfId="1" applyNumberFormat="1" applyFont="1"/>
    <xf numFmtId="165" fontId="2" fillId="0" borderId="0" xfId="1" applyNumberFormat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4" fillId="0" borderId="0" xfId="1" applyFont="1" applyAlignment="1"/>
    <xf numFmtId="0" fontId="4" fillId="0" borderId="0" xfId="1" applyFont="1" applyAlignment="1">
      <alignment vertical="center"/>
    </xf>
    <xf numFmtId="4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/>
    </xf>
    <xf numFmtId="164" fontId="2" fillId="0" borderId="0" xfId="1" applyNumberFormat="1" applyFont="1" applyAlignment="1">
      <alignment horizontal="left"/>
    </xf>
    <xf numFmtId="165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top"/>
    </xf>
    <xf numFmtId="0" fontId="5" fillId="0" borderId="0" xfId="1" applyFont="1" applyAlignment="1"/>
    <xf numFmtId="0" fontId="5" fillId="0" borderId="0" xfId="1" applyFont="1" applyAlignment="1">
      <alignment horizontal="center"/>
    </xf>
    <xf numFmtId="4" fontId="5" fillId="0" borderId="0" xfId="1" applyNumberFormat="1" applyFont="1" applyAlignment="1"/>
    <xf numFmtId="164" fontId="5" fillId="0" borderId="0" xfId="1" applyNumberFormat="1" applyFont="1" applyAlignment="1"/>
    <xf numFmtId="165" fontId="5" fillId="0" borderId="0" xfId="1" applyNumberFormat="1" applyFont="1" applyAlignment="1"/>
    <xf numFmtId="0" fontId="6" fillId="0" borderId="0" xfId="1" applyFont="1" applyAlignment="1">
      <alignment vertical="center"/>
    </xf>
    <xf numFmtId="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14" fontId="3" fillId="0" borderId="0" xfId="1" applyNumberFormat="1" applyFont="1" applyAlignment="1">
      <alignment vertical="top"/>
    </xf>
    <xf numFmtId="14" fontId="3" fillId="0" borderId="0" xfId="1" applyNumberFormat="1" applyFont="1" applyAlignment="1">
      <alignment horizontal="right" vertical="top"/>
    </xf>
    <xf numFmtId="4" fontId="5" fillId="0" borderId="0" xfId="1" applyNumberFormat="1" applyFont="1"/>
    <xf numFmtId="0" fontId="5" fillId="0" borderId="0" xfId="1" applyFont="1"/>
    <xf numFmtId="164" fontId="5" fillId="0" borderId="0" xfId="1" applyNumberFormat="1" applyFont="1"/>
    <xf numFmtId="165" fontId="5" fillId="0" borderId="0" xfId="1" applyNumberFormat="1" applyFont="1"/>
    <xf numFmtId="0" fontId="5" fillId="0" borderId="0" xfId="1" applyFont="1" applyAlignment="1">
      <alignment vertical="center"/>
    </xf>
    <xf numFmtId="14" fontId="3" fillId="0" borderId="0" xfId="1" applyNumberFormat="1" applyFont="1" applyAlignment="1">
      <alignment horizontal="center" vertical="top"/>
    </xf>
    <xf numFmtId="4" fontId="2" fillId="0" borderId="0" xfId="1" applyNumberFormat="1" applyFont="1" applyAlignment="1">
      <alignment horizontal="center"/>
    </xf>
    <xf numFmtId="4" fontId="7" fillId="0" borderId="1" xfId="1" applyNumberFormat="1" applyFont="1" applyBorder="1"/>
    <xf numFmtId="4" fontId="7" fillId="2" borderId="2" xfId="1" applyNumberFormat="1" applyFont="1" applyFill="1" applyBorder="1"/>
    <xf numFmtId="165" fontId="7" fillId="2" borderId="3" xfId="1" applyNumberFormat="1" applyFont="1" applyFill="1" applyBorder="1"/>
    <xf numFmtId="165" fontId="7" fillId="2" borderId="4" xfId="1" applyNumberFormat="1" applyFont="1" applyFill="1" applyBorder="1"/>
    <xf numFmtId="165" fontId="7" fillId="2" borderId="5" xfId="1" applyNumberFormat="1" applyFont="1" applyFill="1" applyBorder="1"/>
    <xf numFmtId="4" fontId="3" fillId="0" borderId="1" xfId="1" applyNumberFormat="1" applyFont="1" applyBorder="1"/>
    <xf numFmtId="4" fontId="3" fillId="0" borderId="2" xfId="1" applyNumberFormat="1" applyFont="1" applyBorder="1"/>
    <xf numFmtId="165" fontId="7" fillId="0" borderId="8" xfId="1" applyNumberFormat="1" applyFont="1" applyBorder="1"/>
    <xf numFmtId="165" fontId="3" fillId="0" borderId="9" xfId="1" applyNumberFormat="1" applyFont="1" applyFill="1" applyBorder="1"/>
    <xf numFmtId="165" fontId="7" fillId="0" borderId="1" xfId="1" applyNumberFormat="1" applyFont="1" applyBorder="1"/>
    <xf numFmtId="0" fontId="3" fillId="0" borderId="1" xfId="1" applyFont="1" applyBorder="1" applyAlignment="1">
      <alignment vertical="center" wrapText="1"/>
    </xf>
    <xf numFmtId="0" fontId="3" fillId="0" borderId="10" xfId="1" applyFont="1" applyBorder="1" applyAlignment="1">
      <alignment horizontal="center" vertical="top" wrapText="1"/>
    </xf>
    <xf numFmtId="4" fontId="7" fillId="0" borderId="2" xfId="1" applyNumberFormat="1" applyFont="1" applyBorder="1"/>
    <xf numFmtId="165" fontId="7" fillId="0" borderId="9" xfId="1" applyNumberFormat="1" applyFont="1" applyBorder="1"/>
    <xf numFmtId="0" fontId="7" fillId="0" borderId="1" xfId="1" applyFont="1" applyBorder="1" applyAlignment="1">
      <alignment vertical="center" wrapText="1"/>
    </xf>
    <xf numFmtId="0" fontId="7" fillId="0" borderId="10" xfId="1" applyFont="1" applyBorder="1" applyAlignment="1">
      <alignment horizontal="center" vertical="top" wrapText="1"/>
    </xf>
    <xf numFmtId="165" fontId="3" fillId="0" borderId="1" xfId="1" applyNumberFormat="1" applyFont="1" applyBorder="1"/>
    <xf numFmtId="0" fontId="3" fillId="0" borderId="1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165" fontId="3" fillId="0" borderId="8" xfId="1" applyNumberFormat="1" applyFont="1" applyFill="1" applyBorder="1"/>
    <xf numFmtId="0" fontId="3" fillId="0" borderId="11" xfId="1" applyFont="1" applyBorder="1" applyAlignment="1">
      <alignment horizontal="left" vertical="top" wrapText="1"/>
    </xf>
    <xf numFmtId="165" fontId="8" fillId="0" borderId="8" xfId="1" applyNumberFormat="1" applyFont="1" applyBorder="1"/>
    <xf numFmtId="165" fontId="3" fillId="0" borderId="1" xfId="1" applyNumberFormat="1" applyFont="1" applyFill="1" applyBorder="1"/>
    <xf numFmtId="0" fontId="3" fillId="0" borderId="10" xfId="1" applyFont="1" applyBorder="1" applyAlignment="1">
      <alignment vertical="top" wrapText="1"/>
    </xf>
    <xf numFmtId="165" fontId="9" fillId="0" borderId="8" xfId="1" applyNumberFormat="1" applyFont="1" applyBorder="1"/>
    <xf numFmtId="165" fontId="9" fillId="0" borderId="1" xfId="1" applyNumberFormat="1" applyFont="1" applyBorder="1"/>
    <xf numFmtId="165" fontId="9" fillId="0" borderId="1" xfId="2" applyNumberFormat="1" applyFont="1" applyFill="1" applyBorder="1"/>
    <xf numFmtId="0" fontId="9" fillId="0" borderId="1" xfId="2" applyFont="1" applyBorder="1" applyAlignment="1">
      <alignment vertical="center" wrapText="1"/>
    </xf>
    <xf numFmtId="165" fontId="8" fillId="0" borderId="1" xfId="1" applyNumberFormat="1" applyFont="1" applyBorder="1"/>
    <xf numFmtId="165" fontId="3" fillId="0" borderId="8" xfId="1" applyNumberFormat="1" applyFont="1" applyBorder="1"/>
    <xf numFmtId="0" fontId="3" fillId="0" borderId="1" xfId="0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3" fillId="0" borderId="10" xfId="3" applyFont="1" applyBorder="1" applyAlignment="1">
      <alignment horizontal="center" vertical="top" wrapText="1"/>
    </xf>
    <xf numFmtId="0" fontId="3" fillId="0" borderId="1" xfId="4" applyFont="1" applyBorder="1" applyAlignment="1">
      <alignment vertical="center" wrapText="1"/>
    </xf>
    <xf numFmtId="0" fontId="3" fillId="0" borderId="10" xfId="4" applyFont="1" applyBorder="1" applyAlignment="1">
      <alignment horizontal="center" vertical="top" wrapText="1"/>
    </xf>
    <xf numFmtId="4" fontId="10" fillId="0" borderId="1" xfId="1" applyNumberFormat="1" applyFont="1" applyBorder="1"/>
    <xf numFmtId="4" fontId="10" fillId="0" borderId="2" xfId="1" applyNumberFormat="1" applyFont="1" applyBorder="1"/>
    <xf numFmtId="0" fontId="3" fillId="0" borderId="1" xfId="5" applyFont="1" applyBorder="1" applyAlignment="1">
      <alignment vertical="center" wrapText="1"/>
    </xf>
    <xf numFmtId="0" fontId="3" fillId="0" borderId="10" xfId="5" applyFont="1" applyBorder="1" applyAlignment="1">
      <alignment horizontal="center" vertical="top" wrapText="1"/>
    </xf>
    <xf numFmtId="165" fontId="3" fillId="0" borderId="1" xfId="6" applyNumberFormat="1" applyFont="1" applyFill="1" applyBorder="1"/>
    <xf numFmtId="0" fontId="3" fillId="0" borderId="1" xfId="6" applyFont="1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/>
    <xf numFmtId="4" fontId="7" fillId="0" borderId="2" xfId="1" applyNumberFormat="1" applyFont="1" applyFill="1" applyBorder="1"/>
    <xf numFmtId="165" fontId="7" fillId="3" borderId="8" xfId="1" applyNumberFormat="1" applyFont="1" applyFill="1" applyBorder="1"/>
    <xf numFmtId="165" fontId="7" fillId="3" borderId="1" xfId="1" applyNumberFormat="1" applyFont="1" applyFill="1" applyBorder="1"/>
    <xf numFmtId="0" fontId="11" fillId="2" borderId="1" xfId="1" applyFont="1" applyFill="1" applyBorder="1" applyAlignment="1">
      <alignment vertical="center" wrapText="1"/>
    </xf>
    <xf numFmtId="4" fontId="12" fillId="0" borderId="1" xfId="1" applyNumberFormat="1" applyFont="1" applyBorder="1"/>
    <xf numFmtId="4" fontId="3" fillId="4" borderId="2" xfId="1" applyNumberFormat="1" applyFont="1" applyFill="1" applyBorder="1"/>
    <xf numFmtId="165" fontId="3" fillId="0" borderId="1" xfId="7" applyNumberFormat="1" applyFont="1" applyFill="1" applyBorder="1"/>
    <xf numFmtId="0" fontId="3" fillId="0" borderId="1" xfId="7" applyFont="1" applyBorder="1" applyAlignment="1">
      <alignment vertical="center" wrapText="1"/>
    </xf>
    <xf numFmtId="0" fontId="3" fillId="0" borderId="1" xfId="7" applyFont="1" applyFill="1" applyBorder="1" applyAlignment="1">
      <alignment vertical="center" wrapText="1"/>
    </xf>
    <xf numFmtId="165" fontId="7" fillId="0" borderId="1" xfId="1" applyNumberFormat="1" applyFont="1" applyFill="1" applyBorder="1"/>
    <xf numFmtId="4" fontId="3" fillId="0" borderId="2" xfId="1" applyNumberFormat="1" applyFont="1" applyFill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0" fontId="10" fillId="0" borderId="9" xfId="0" applyFont="1" applyBorder="1" applyAlignment="1">
      <alignment vertical="center" wrapText="1"/>
    </xf>
    <xf numFmtId="0" fontId="7" fillId="0" borderId="12" xfId="1" applyFont="1" applyBorder="1" applyAlignment="1">
      <alignment horizontal="center" vertical="top"/>
    </xf>
    <xf numFmtId="0" fontId="3" fillId="0" borderId="9" xfId="0" applyFont="1" applyBorder="1" applyAlignment="1">
      <alignment vertical="center" wrapText="1"/>
    </xf>
    <xf numFmtId="165" fontId="3" fillId="0" borderId="1" xfId="0" applyNumberFormat="1" applyFont="1" applyFill="1" applyBorder="1"/>
    <xf numFmtId="165" fontId="3" fillId="4" borderId="1" xfId="0" applyNumberFormat="1" applyFont="1" applyFill="1" applyBorder="1"/>
    <xf numFmtId="166" fontId="3" fillId="0" borderId="1" xfId="0" applyNumberFormat="1" applyFont="1" applyBorder="1" applyAlignment="1">
      <alignment vertical="center" wrapText="1"/>
    </xf>
    <xf numFmtId="4" fontId="10" fillId="0" borderId="2" xfId="1" applyNumberFormat="1" applyFont="1" applyFill="1" applyBorder="1"/>
    <xf numFmtId="0" fontId="3" fillId="0" borderId="1" xfId="0" applyNumberFormat="1" applyFont="1" applyBorder="1" applyAlignment="1">
      <alignment vertical="center" wrapText="1"/>
    </xf>
    <xf numFmtId="4" fontId="1" fillId="0" borderId="0" xfId="7" applyNumberFormat="1"/>
    <xf numFmtId="0" fontId="3" fillId="0" borderId="10" xfId="8" applyFont="1" applyBorder="1" applyAlignment="1">
      <alignment horizontal="center" vertical="top"/>
    </xf>
    <xf numFmtId="4" fontId="12" fillId="0" borderId="2" xfId="1" applyNumberFormat="1" applyFont="1" applyBorder="1"/>
    <xf numFmtId="0" fontId="3" fillId="5" borderId="1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0" fontId="3" fillId="0" borderId="12" xfId="9" applyFont="1" applyBorder="1" applyAlignment="1">
      <alignment horizontal="center" vertical="top"/>
    </xf>
    <xf numFmtId="0" fontId="3" fillId="0" borderId="11" xfId="0" applyFont="1" applyBorder="1" applyAlignment="1">
      <alignment vertical="top" wrapText="1"/>
    </xf>
    <xf numFmtId="0" fontId="3" fillId="0" borderId="1" xfId="9" applyFont="1" applyBorder="1" applyAlignment="1">
      <alignment vertical="center" wrapText="1"/>
    </xf>
    <xf numFmtId="4" fontId="13" fillId="0" borderId="2" xfId="1" applyNumberFormat="1" applyFont="1" applyBorder="1"/>
    <xf numFmtId="0" fontId="7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3" fillId="0" borderId="10" xfId="1" applyFont="1" applyBorder="1" applyAlignment="1">
      <alignment horizontal="center" vertical="top"/>
    </xf>
    <xf numFmtId="4" fontId="12" fillId="0" borderId="2" xfId="1" applyNumberFormat="1" applyFont="1" applyFill="1" applyBorder="1"/>
    <xf numFmtId="0" fontId="3" fillId="0" borderId="10" xfId="1" applyFont="1" applyFill="1" applyBorder="1" applyAlignment="1">
      <alignment horizontal="center" vertical="top"/>
    </xf>
    <xf numFmtId="165" fontId="7" fillId="0" borderId="8" xfId="1" applyNumberFormat="1" applyFont="1" applyFill="1" applyBorder="1"/>
    <xf numFmtId="0" fontId="7" fillId="0" borderId="1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horizontal="center" vertical="top"/>
    </xf>
    <xf numFmtId="165" fontId="7" fillId="2" borderId="8" xfId="1" applyNumberFormat="1" applyFont="1" applyFill="1" applyBorder="1"/>
    <xf numFmtId="165" fontId="7" fillId="2" borderId="1" xfId="1" applyNumberFormat="1" applyFont="1" applyFill="1" applyBorder="1"/>
    <xf numFmtId="0" fontId="7" fillId="2" borderId="1" xfId="1" applyFont="1" applyFill="1" applyBorder="1" applyAlignment="1">
      <alignment vertical="center" wrapText="1"/>
    </xf>
    <xf numFmtId="0" fontId="7" fillId="2" borderId="10" xfId="1" applyFont="1" applyFill="1" applyBorder="1" applyAlignment="1">
      <alignment horizontal="center" vertical="top"/>
    </xf>
    <xf numFmtId="0" fontId="7" fillId="0" borderId="10" xfId="1" applyFont="1" applyBorder="1" applyAlignment="1">
      <alignment horizontal="center" vertical="top"/>
    </xf>
    <xf numFmtId="0" fontId="3" fillId="2" borderId="10" xfId="1" applyFont="1" applyFill="1" applyBorder="1" applyAlignment="1">
      <alignment horizontal="center" vertical="top"/>
    </xf>
    <xf numFmtId="165" fontId="7" fillId="0" borderId="15" xfId="1" applyNumberFormat="1" applyFont="1" applyFill="1" applyBorder="1"/>
    <xf numFmtId="165" fontId="3" fillId="0" borderId="15" xfId="1" applyNumberFormat="1" applyFont="1" applyFill="1" applyBorder="1"/>
    <xf numFmtId="0" fontId="7" fillId="0" borderId="16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horizontal="center" vertical="top"/>
    </xf>
    <xf numFmtId="165" fontId="7" fillId="0" borderId="16" xfId="1" applyNumberFormat="1" applyFont="1" applyFill="1" applyBorder="1"/>
    <xf numFmtId="165" fontId="7" fillId="2" borderId="15" xfId="1" applyNumberFormat="1" applyFont="1" applyFill="1" applyBorder="1"/>
    <xf numFmtId="165" fontId="7" fillId="2" borderId="16" xfId="1" applyNumberFormat="1" applyFont="1" applyFill="1" applyBorder="1"/>
    <xf numFmtId="0" fontId="7" fillId="2" borderId="16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horizontal="center" vertical="top"/>
    </xf>
    <xf numFmtId="165" fontId="7" fillId="2" borderId="17" xfId="1" applyNumberFormat="1" applyFont="1" applyFill="1" applyBorder="1"/>
    <xf numFmtId="165" fontId="7" fillId="2" borderId="18" xfId="1" applyNumberFormat="1" applyFont="1" applyFill="1" applyBorder="1"/>
    <xf numFmtId="0" fontId="7" fillId="2" borderId="18" xfId="1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center" vertical="top"/>
    </xf>
    <xf numFmtId="4" fontId="14" fillId="4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 wrapText="1"/>
    </xf>
    <xf numFmtId="4" fontId="15" fillId="4" borderId="2" xfId="1" applyNumberFormat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164" fontId="7" fillId="2" borderId="21" xfId="1" applyNumberFormat="1" applyFont="1" applyFill="1" applyBorder="1" applyAlignment="1">
      <alignment horizontal="center" vertical="center" wrapText="1"/>
    </xf>
    <xf numFmtId="165" fontId="16" fillId="2" borderId="21" xfId="1" applyNumberFormat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22" xfId="1" applyFont="1" applyFill="1" applyBorder="1" applyAlignment="1">
      <alignment horizontal="center" vertical="top" wrapText="1"/>
    </xf>
    <xf numFmtId="4" fontId="2" fillId="0" borderId="0" xfId="1" applyNumberFormat="1" applyFont="1" applyFill="1" applyAlignment="1">
      <alignment horizontal="center" vertical="center" wrapText="1"/>
    </xf>
    <xf numFmtId="0" fontId="17" fillId="0" borderId="0" xfId="1" applyFont="1" applyAlignment="1">
      <alignment horizontal="center" wrapText="1"/>
    </xf>
    <xf numFmtId="0" fontId="7" fillId="2" borderId="7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18" fillId="0" borderId="0" xfId="1" applyFont="1" applyAlignment="1">
      <alignment horizontal="center" vertical="center" wrapText="1"/>
    </xf>
    <xf numFmtId="0" fontId="3" fillId="0" borderId="23" xfId="1" applyFont="1" applyBorder="1" applyAlignment="1">
      <alignment horizontal="center"/>
    </xf>
    <xf numFmtId="0" fontId="7" fillId="0" borderId="13" xfId="1" applyFont="1" applyBorder="1" applyAlignment="1">
      <alignment horizontal="center" vertical="top"/>
    </xf>
    <xf numFmtId="0" fontId="7" fillId="0" borderId="14" xfId="1" applyFont="1" applyBorder="1" applyAlignment="1">
      <alignment horizontal="center" vertical="top"/>
    </xf>
    <xf numFmtId="0" fontId="7" fillId="0" borderId="12" xfId="1" applyFont="1" applyBorder="1" applyAlignment="1">
      <alignment horizontal="center" vertical="top"/>
    </xf>
    <xf numFmtId="0" fontId="3" fillId="0" borderId="13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12" xfId="1" applyFont="1" applyBorder="1" applyAlignment="1">
      <alignment horizontal="center" vertical="top" wrapText="1"/>
    </xf>
  </cellXfs>
  <cellStyles count="41">
    <cellStyle name="Обычный" xfId="0" builtinId="0"/>
    <cellStyle name="Обычный 10" xfId="10"/>
    <cellStyle name="Обычный 11" xfId="6"/>
    <cellStyle name="Обычный 11 2" xfId="11"/>
    <cellStyle name="Обычный 12" xfId="5"/>
    <cellStyle name="Обычный 12 2" xfId="12"/>
    <cellStyle name="Обычный 13" xfId="4"/>
    <cellStyle name="Обычный 13 2" xfId="13"/>
    <cellStyle name="Обычный 14" xfId="2"/>
    <cellStyle name="Обычный 14 2" xfId="14"/>
    <cellStyle name="Обычный 2" xfId="1"/>
    <cellStyle name="Обычный 3" xfId="8"/>
    <cellStyle name="Обычный 3 2" xfId="15"/>
    <cellStyle name="Обычный 3 3" xfId="16"/>
    <cellStyle name="Обычный 3 4" xfId="17"/>
    <cellStyle name="Обычный 3 5" xfId="18"/>
    <cellStyle name="Обычный 4" xfId="3"/>
    <cellStyle name="Обычный 4 10" xfId="19"/>
    <cellStyle name="Обычный 4 2" xfId="20"/>
    <cellStyle name="Обычный 4 3" xfId="21"/>
    <cellStyle name="Обычный 4 4" xfId="22"/>
    <cellStyle name="Обычный 4 5" xfId="23"/>
    <cellStyle name="Обычный 4 6" xfId="24"/>
    <cellStyle name="Обычный 4 7" xfId="25"/>
    <cellStyle name="Обычный 4 8" xfId="26"/>
    <cellStyle name="Обычный 4 9" xfId="27"/>
    <cellStyle name="Обычный 5" xfId="9"/>
    <cellStyle name="Обычный 5 10" xfId="28"/>
    <cellStyle name="Обычный 5 2" xfId="29"/>
    <cellStyle name="Обычный 5 3" xfId="30"/>
    <cellStyle name="Обычный 5 4" xfId="31"/>
    <cellStyle name="Обычный 5 5" xfId="32"/>
    <cellStyle name="Обычный 5 6" xfId="33"/>
    <cellStyle name="Обычный 5 7" xfId="34"/>
    <cellStyle name="Обычный 5 8" xfId="35"/>
    <cellStyle name="Обычный 5 9" xfId="36"/>
    <cellStyle name="Обычный 6" xfId="37"/>
    <cellStyle name="Обычный 7" xfId="38"/>
    <cellStyle name="Обычный 8" xfId="7"/>
    <cellStyle name="Обычный 8 2" xfId="39"/>
    <cellStyle name="Обычный 9" xfId="4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0</xdr:row>
      <xdr:rowOff>0</xdr:rowOff>
    </xdr:from>
    <xdr:to>
      <xdr:col>2</xdr:col>
      <xdr:colOff>1143000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19200" y="0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1">
            <a:defRPr sz="1000"/>
          </a:pPr>
          <a:r>
            <a:rPr lang="ru-RU" sz="14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2 к постановлению Представительного Собрания Чагодощенского муниципального района                                             от  10 декабря  2007 года  № 120 </a:t>
          </a:r>
          <a:endParaRPr lang="ru-RU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ru-RU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  <pageSetUpPr fitToPage="1"/>
  </sheetPr>
  <dimension ref="A1:L166"/>
  <sheetViews>
    <sheetView tabSelected="1" view="pageBreakPreview" topLeftCell="A117" zoomScale="70" zoomScaleNormal="77" zoomScaleSheetLayoutView="70" workbookViewId="0">
      <selection activeCell="C127" sqref="C127"/>
    </sheetView>
  </sheetViews>
  <sheetFormatPr defaultRowHeight="15.75"/>
  <cols>
    <col min="1" max="1" width="26.28515625" style="9" customWidth="1"/>
    <col min="2" max="2" width="89.140625" style="8" customWidth="1"/>
    <col min="3" max="3" width="16.28515625" style="7" customWidth="1"/>
    <col min="4" max="4" width="17" style="6" customWidth="1"/>
    <col min="5" max="5" width="12" style="1" customWidth="1"/>
    <col min="6" max="6" width="23" style="5" hidden="1" customWidth="1"/>
    <col min="7" max="7" width="21.28515625" style="4" hidden="1" customWidth="1"/>
    <col min="8" max="8" width="18.7109375" style="3" hidden="1" customWidth="1"/>
    <col min="9" max="9" width="19.42578125" style="2" customWidth="1"/>
    <col min="10" max="10" width="9.140625" style="1"/>
    <col min="11" max="11" width="17.42578125" style="1" bestFit="1" customWidth="1"/>
    <col min="12" max="12" width="32.140625" style="1" customWidth="1"/>
    <col min="13" max="16384" width="9.140625" style="1"/>
  </cols>
  <sheetData>
    <row r="1" spans="1:8" s="1" customFormat="1" ht="45.75" customHeight="1">
      <c r="A1" s="152" t="s">
        <v>256</v>
      </c>
      <c r="B1" s="152"/>
      <c r="C1" s="152"/>
      <c r="D1" s="152"/>
      <c r="E1" s="152"/>
      <c r="F1" s="148" t="s">
        <v>255</v>
      </c>
      <c r="G1" s="147" t="s">
        <v>254</v>
      </c>
      <c r="H1" s="3"/>
    </row>
    <row r="2" spans="1:8" s="1" customFormat="1" ht="16.5" customHeight="1" thickBot="1">
      <c r="A2" s="18"/>
      <c r="B2" s="8"/>
      <c r="C2" s="153" t="s">
        <v>253</v>
      </c>
      <c r="D2" s="153"/>
      <c r="E2" s="153"/>
      <c r="F2" s="5"/>
      <c r="G2" s="4"/>
      <c r="H2" s="3"/>
    </row>
    <row r="3" spans="1:8" s="1" customFormat="1" ht="40.5" customHeight="1" thickTop="1" thickBot="1">
      <c r="A3" s="146" t="s">
        <v>252</v>
      </c>
      <c r="B3" s="145" t="s">
        <v>251</v>
      </c>
      <c r="C3" s="144" t="s">
        <v>250</v>
      </c>
      <c r="D3" s="143" t="s">
        <v>249</v>
      </c>
      <c r="E3" s="142" t="s">
        <v>248</v>
      </c>
      <c r="F3" s="141" t="s">
        <v>247</v>
      </c>
      <c r="G3" s="140" t="s">
        <v>246</v>
      </c>
      <c r="H3" s="139" t="s">
        <v>245</v>
      </c>
    </row>
    <row r="4" spans="1:8" s="1" customFormat="1" ht="27.75" customHeight="1" thickTop="1">
      <c r="A4" s="138" t="s">
        <v>244</v>
      </c>
      <c r="B4" s="137" t="s">
        <v>243</v>
      </c>
      <c r="C4" s="136">
        <f>C5+C37</f>
        <v>153768</v>
      </c>
      <c r="D4" s="136">
        <f>D5+D37</f>
        <v>164943.5</v>
      </c>
      <c r="E4" s="135">
        <f t="shared" ref="E4:E29" si="0">D4/C4*100</f>
        <v>107.26776702564902</v>
      </c>
      <c r="F4" s="38">
        <f>F5+F37</f>
        <v>153768000</v>
      </c>
      <c r="G4" s="38">
        <f>G5+G37</f>
        <v>153768000</v>
      </c>
      <c r="H4" s="42">
        <f t="shared" ref="H4:H35" si="1">G4-F4</f>
        <v>0</v>
      </c>
    </row>
    <row r="5" spans="1:8" s="1" customFormat="1" ht="25.5" customHeight="1">
      <c r="A5" s="134"/>
      <c r="B5" s="133" t="s">
        <v>242</v>
      </c>
      <c r="C5" s="132">
        <f>C6+C14+C22+C26+C30+C9</f>
        <v>144303.1</v>
      </c>
      <c r="D5" s="132">
        <f>D6+D9+D14+D26</f>
        <v>155040.79999999999</v>
      </c>
      <c r="E5" s="131">
        <f t="shared" si="0"/>
        <v>107.44107368448769</v>
      </c>
      <c r="F5" s="38">
        <f>F6+F14+F22+F26+F30+F9</f>
        <v>144303100</v>
      </c>
      <c r="G5" s="38">
        <f>G6+G14+G22+G26+G30+G9</f>
        <v>144303100</v>
      </c>
      <c r="H5" s="42">
        <f t="shared" si="1"/>
        <v>0</v>
      </c>
    </row>
    <row r="6" spans="1:8" s="1" customFormat="1" ht="20.25" customHeight="1">
      <c r="A6" s="129" t="s">
        <v>241</v>
      </c>
      <c r="B6" s="128" t="s">
        <v>240</v>
      </c>
      <c r="C6" s="130">
        <f>C7+C8</f>
        <v>115082.3</v>
      </c>
      <c r="D6" s="130">
        <f>D7+D8</f>
        <v>125331.7</v>
      </c>
      <c r="E6" s="126">
        <f t="shared" si="0"/>
        <v>108.90614803492804</v>
      </c>
      <c r="F6" s="80">
        <f>F7+F8</f>
        <v>115082300</v>
      </c>
      <c r="G6" s="80">
        <f>G7+G8</f>
        <v>115082300</v>
      </c>
      <c r="H6" s="42">
        <f t="shared" si="1"/>
        <v>0</v>
      </c>
    </row>
    <row r="7" spans="1:8" s="1" customFormat="1" ht="20.25" customHeight="1">
      <c r="A7" s="114" t="s">
        <v>239</v>
      </c>
      <c r="B7" s="47" t="s">
        <v>238</v>
      </c>
      <c r="C7" s="53">
        <f>111123+3959.3</f>
        <v>115082.3</v>
      </c>
      <c r="D7" s="53">
        <v>125331.7</v>
      </c>
      <c r="E7" s="127">
        <f t="shared" si="0"/>
        <v>108.90614803492804</v>
      </c>
      <c r="F7" s="43">
        <f>111123000+3959300</f>
        <v>115082300</v>
      </c>
      <c r="G7" s="43">
        <v>115082300</v>
      </c>
      <c r="H7" s="42">
        <f t="shared" si="1"/>
        <v>0</v>
      </c>
    </row>
    <row r="8" spans="1:8" s="1" customFormat="1" ht="20.25" hidden="1" customHeight="1">
      <c r="A8" s="114" t="s">
        <v>237</v>
      </c>
      <c r="B8" s="47" t="s">
        <v>236</v>
      </c>
      <c r="C8" s="53">
        <v>0</v>
      </c>
      <c r="D8" s="53">
        <v>0</v>
      </c>
      <c r="E8" s="127" t="e">
        <f t="shared" si="0"/>
        <v>#DIV/0!</v>
      </c>
      <c r="F8" s="43">
        <v>0</v>
      </c>
      <c r="G8" s="43">
        <v>0</v>
      </c>
      <c r="H8" s="42">
        <f t="shared" si="1"/>
        <v>0</v>
      </c>
    </row>
    <row r="9" spans="1:8" s="1" customFormat="1" ht="27.75" customHeight="1">
      <c r="A9" s="129" t="s">
        <v>235</v>
      </c>
      <c r="B9" s="128" t="s">
        <v>234</v>
      </c>
      <c r="C9" s="46">
        <f>C10</f>
        <v>5822</v>
      </c>
      <c r="D9" s="46">
        <f>D10</f>
        <v>5712.5</v>
      </c>
      <c r="E9" s="127">
        <f t="shared" si="0"/>
        <v>98.119203023016141</v>
      </c>
      <c r="F9" s="49">
        <f>F10</f>
        <v>5822000</v>
      </c>
      <c r="G9" s="49">
        <f>G10</f>
        <v>5822000</v>
      </c>
      <c r="H9" s="42">
        <f t="shared" si="1"/>
        <v>0</v>
      </c>
    </row>
    <row r="10" spans="1:8" s="1" customFormat="1" ht="18.75" customHeight="1">
      <c r="A10" s="114" t="s">
        <v>233</v>
      </c>
      <c r="B10" s="47" t="s">
        <v>232</v>
      </c>
      <c r="C10" s="53">
        <f>4683+1139</f>
        <v>5822</v>
      </c>
      <c r="D10" s="53">
        <v>5712.5</v>
      </c>
      <c r="E10" s="127">
        <f t="shared" si="0"/>
        <v>98.119203023016141</v>
      </c>
      <c r="F10" s="43">
        <f>4683000+1139000</f>
        <v>5822000</v>
      </c>
      <c r="G10" s="43">
        <f>4683000+1139000</f>
        <v>5822000</v>
      </c>
      <c r="H10" s="42">
        <f t="shared" si="1"/>
        <v>0</v>
      </c>
    </row>
    <row r="11" spans="1:8" s="1" customFormat="1" ht="20.25" hidden="1" customHeight="1">
      <c r="A11" s="114" t="s">
        <v>231</v>
      </c>
      <c r="B11" s="47"/>
      <c r="C11" s="53">
        <v>816</v>
      </c>
      <c r="D11" s="53"/>
      <c r="E11" s="127">
        <f t="shared" si="0"/>
        <v>0</v>
      </c>
      <c r="F11" s="43">
        <v>816</v>
      </c>
      <c r="G11" s="43">
        <v>816</v>
      </c>
      <c r="H11" s="42">
        <f t="shared" si="1"/>
        <v>0</v>
      </c>
    </row>
    <row r="12" spans="1:8" s="1" customFormat="1" ht="20.25" hidden="1" customHeight="1">
      <c r="A12" s="114" t="s">
        <v>230</v>
      </c>
      <c r="B12" s="47"/>
      <c r="C12" s="53">
        <v>60</v>
      </c>
      <c r="D12" s="53"/>
      <c r="E12" s="127">
        <f t="shared" si="0"/>
        <v>0</v>
      </c>
      <c r="F12" s="43">
        <v>60</v>
      </c>
      <c r="G12" s="43">
        <v>60</v>
      </c>
      <c r="H12" s="42">
        <f t="shared" si="1"/>
        <v>0</v>
      </c>
    </row>
    <row r="13" spans="1:8" s="1" customFormat="1" ht="20.25" hidden="1" customHeight="1">
      <c r="A13" s="114" t="s">
        <v>229</v>
      </c>
      <c r="B13" s="47"/>
      <c r="C13" s="53">
        <v>2920</v>
      </c>
      <c r="D13" s="53"/>
      <c r="E13" s="127">
        <f t="shared" si="0"/>
        <v>0</v>
      </c>
      <c r="F13" s="43">
        <v>2920</v>
      </c>
      <c r="G13" s="43">
        <v>2920</v>
      </c>
      <c r="H13" s="42">
        <f t="shared" si="1"/>
        <v>0</v>
      </c>
    </row>
    <row r="14" spans="1:8" s="1" customFormat="1" ht="19.5" customHeight="1">
      <c r="A14" s="124" t="s">
        <v>228</v>
      </c>
      <c r="B14" s="51" t="s">
        <v>227</v>
      </c>
      <c r="C14" s="46">
        <f>C15+C19+C20+C21</f>
        <v>22079.3</v>
      </c>
      <c r="D14" s="46">
        <f>D15+D19+D20+D21</f>
        <v>22592.100000000002</v>
      </c>
      <c r="E14" s="44">
        <f t="shared" si="0"/>
        <v>102.3225373992835</v>
      </c>
      <c r="F14" s="49">
        <f>F15+F19+F20+F21</f>
        <v>22079300</v>
      </c>
      <c r="G14" s="49">
        <f>G15+G19+G20+G21</f>
        <v>22079300</v>
      </c>
      <c r="H14" s="42">
        <f t="shared" si="1"/>
        <v>0</v>
      </c>
    </row>
    <row r="15" spans="1:8" s="1" customFormat="1" ht="18.75" customHeight="1">
      <c r="A15" s="124" t="s">
        <v>226</v>
      </c>
      <c r="B15" s="51" t="s">
        <v>225</v>
      </c>
      <c r="C15" s="46">
        <f>C16+C17+C18</f>
        <v>21218</v>
      </c>
      <c r="D15" s="46">
        <f>D16+D17+D18</f>
        <v>21574.7</v>
      </c>
      <c r="E15" s="44">
        <f t="shared" si="0"/>
        <v>101.68111980394005</v>
      </c>
      <c r="F15" s="49">
        <f>F16+F17+F18</f>
        <v>21218000</v>
      </c>
      <c r="G15" s="49">
        <f>G16+G17+G18</f>
        <v>21218000</v>
      </c>
      <c r="H15" s="42">
        <f t="shared" si="1"/>
        <v>0</v>
      </c>
    </row>
    <row r="16" spans="1:8" s="1" customFormat="1" ht="34.5" customHeight="1">
      <c r="A16" s="114" t="s">
        <v>224</v>
      </c>
      <c r="B16" s="47" t="s">
        <v>223</v>
      </c>
      <c r="C16" s="53">
        <v>11450</v>
      </c>
      <c r="D16" s="53">
        <v>11804.6</v>
      </c>
      <c r="E16" s="127">
        <f t="shared" si="0"/>
        <v>103.09694323144105</v>
      </c>
      <c r="F16" s="43">
        <f>8376000+3074000</f>
        <v>11450000</v>
      </c>
      <c r="G16" s="43">
        <v>11450000</v>
      </c>
      <c r="H16" s="42">
        <f t="shared" si="1"/>
        <v>0</v>
      </c>
    </row>
    <row r="17" spans="1:8" s="1" customFormat="1" ht="33" customHeight="1">
      <c r="A17" s="114" t="s">
        <v>222</v>
      </c>
      <c r="B17" s="47" t="s">
        <v>221</v>
      </c>
      <c r="C17" s="53">
        <v>9768</v>
      </c>
      <c r="D17" s="53">
        <v>9770.1</v>
      </c>
      <c r="E17" s="127">
        <f t="shared" si="0"/>
        <v>100.02149877149877</v>
      </c>
      <c r="F17" s="43">
        <f>17907000-1891400-6247600</f>
        <v>9768000</v>
      </c>
      <c r="G17" s="43">
        <v>9768000</v>
      </c>
      <c r="H17" s="42">
        <f t="shared" si="1"/>
        <v>0</v>
      </c>
    </row>
    <row r="18" spans="1:8" s="1" customFormat="1" ht="21" hidden="1" customHeight="1">
      <c r="A18" s="114" t="s">
        <v>220</v>
      </c>
      <c r="B18" s="47" t="s">
        <v>219</v>
      </c>
      <c r="C18" s="53">
        <v>0</v>
      </c>
      <c r="D18" s="53">
        <v>0</v>
      </c>
      <c r="E18" s="127" t="e">
        <f t="shared" si="0"/>
        <v>#DIV/0!</v>
      </c>
      <c r="F18" s="43">
        <v>0</v>
      </c>
      <c r="G18" s="43">
        <v>0</v>
      </c>
      <c r="H18" s="42">
        <f t="shared" si="1"/>
        <v>0</v>
      </c>
    </row>
    <row r="19" spans="1:8" s="1" customFormat="1" ht="21" customHeight="1">
      <c r="A19" s="124" t="s">
        <v>218</v>
      </c>
      <c r="B19" s="51" t="s">
        <v>217</v>
      </c>
      <c r="C19" s="46">
        <v>0</v>
      </c>
      <c r="D19" s="46">
        <v>-27.2</v>
      </c>
      <c r="E19" s="44" t="e">
        <f t="shared" si="0"/>
        <v>#DIV/0!</v>
      </c>
      <c r="F19" s="49">
        <v>0</v>
      </c>
      <c r="G19" s="49">
        <v>0</v>
      </c>
      <c r="H19" s="42">
        <f t="shared" si="1"/>
        <v>0</v>
      </c>
    </row>
    <row r="20" spans="1:8" s="1" customFormat="1" ht="23.25" customHeight="1">
      <c r="A20" s="124" t="s">
        <v>216</v>
      </c>
      <c r="B20" s="51" t="s">
        <v>215</v>
      </c>
      <c r="C20" s="46">
        <v>81.3</v>
      </c>
      <c r="D20" s="46">
        <v>81.400000000000006</v>
      </c>
      <c r="E20" s="44">
        <f t="shared" si="0"/>
        <v>100.12300123001232</v>
      </c>
      <c r="F20" s="49">
        <f>70000+11300</f>
        <v>81300</v>
      </c>
      <c r="G20" s="49">
        <f>70000+11300</f>
        <v>81300</v>
      </c>
      <c r="H20" s="42">
        <f t="shared" si="1"/>
        <v>0</v>
      </c>
    </row>
    <row r="21" spans="1:8" s="1" customFormat="1" ht="21" customHeight="1">
      <c r="A21" s="124" t="s">
        <v>214</v>
      </c>
      <c r="B21" s="51" t="s">
        <v>213</v>
      </c>
      <c r="C21" s="46">
        <v>780</v>
      </c>
      <c r="D21" s="46">
        <v>963.2</v>
      </c>
      <c r="E21" s="126">
        <f t="shared" si="0"/>
        <v>123.48717948717949</v>
      </c>
      <c r="F21" s="49">
        <v>780000</v>
      </c>
      <c r="G21" s="49">
        <v>780000</v>
      </c>
      <c r="H21" s="42">
        <f t="shared" si="1"/>
        <v>0</v>
      </c>
    </row>
    <row r="22" spans="1:8" s="1" customFormat="1" ht="21.75" hidden="1" customHeight="1">
      <c r="A22" s="124" t="s">
        <v>212</v>
      </c>
      <c r="B22" s="51" t="s">
        <v>211</v>
      </c>
      <c r="C22" s="46">
        <f>C24</f>
        <v>0</v>
      </c>
      <c r="D22" s="46">
        <f>D23</f>
        <v>0</v>
      </c>
      <c r="E22" s="126" t="e">
        <f t="shared" si="0"/>
        <v>#DIV/0!</v>
      </c>
      <c r="F22" s="49">
        <f>F24</f>
        <v>0</v>
      </c>
      <c r="G22" s="49">
        <f>G24</f>
        <v>0</v>
      </c>
      <c r="H22" s="42">
        <f t="shared" si="1"/>
        <v>0</v>
      </c>
    </row>
    <row r="23" spans="1:8" s="1" customFormat="1" ht="69" hidden="1" customHeight="1">
      <c r="A23" s="124" t="s">
        <v>210</v>
      </c>
      <c r="B23" s="47" t="s">
        <v>209</v>
      </c>
      <c r="C23" s="46"/>
      <c r="D23" s="46">
        <v>0</v>
      </c>
      <c r="E23" s="126" t="e">
        <f t="shared" si="0"/>
        <v>#DIV/0!</v>
      </c>
      <c r="F23" s="49"/>
      <c r="G23" s="49"/>
      <c r="H23" s="42">
        <f t="shared" si="1"/>
        <v>0</v>
      </c>
    </row>
    <row r="24" spans="1:8" s="1" customFormat="1" ht="24" hidden="1" customHeight="1">
      <c r="A24" s="124" t="s">
        <v>208</v>
      </c>
      <c r="B24" s="51" t="s">
        <v>207</v>
      </c>
      <c r="C24" s="46">
        <f>C25</f>
        <v>0</v>
      </c>
      <c r="D24" s="46">
        <f>D25</f>
        <v>0</v>
      </c>
      <c r="E24" s="44" t="e">
        <f t="shared" si="0"/>
        <v>#DIV/0!</v>
      </c>
      <c r="F24" s="49">
        <f>F25</f>
        <v>0</v>
      </c>
      <c r="G24" s="49">
        <f>G25</f>
        <v>0</v>
      </c>
      <c r="H24" s="42">
        <f t="shared" si="1"/>
        <v>0</v>
      </c>
    </row>
    <row r="25" spans="1:8" s="1" customFormat="1" ht="21.75" hidden="1" customHeight="1">
      <c r="A25" s="114" t="s">
        <v>206</v>
      </c>
      <c r="B25" s="47" t="s">
        <v>205</v>
      </c>
      <c r="C25" s="53"/>
      <c r="D25" s="53"/>
      <c r="E25" s="66" t="e">
        <f t="shared" si="0"/>
        <v>#DIV/0!</v>
      </c>
      <c r="F25" s="43"/>
      <c r="G25" s="43"/>
      <c r="H25" s="42">
        <f t="shared" si="1"/>
        <v>0</v>
      </c>
    </row>
    <row r="26" spans="1:8" s="1" customFormat="1" ht="20.25" customHeight="1">
      <c r="A26" s="124" t="s">
        <v>204</v>
      </c>
      <c r="B26" s="51" t="s">
        <v>203</v>
      </c>
      <c r="C26" s="46">
        <f>C27+C28+C29</f>
        <v>1319.5</v>
      </c>
      <c r="D26" s="46">
        <f>D27+D28+D29</f>
        <v>1404.5</v>
      </c>
      <c r="E26" s="44">
        <f t="shared" si="0"/>
        <v>106.44183402804093</v>
      </c>
      <c r="F26" s="49">
        <f>F27+F28+F29</f>
        <v>1319500</v>
      </c>
      <c r="G26" s="49">
        <f>G27+G28+G29</f>
        <v>1319500</v>
      </c>
      <c r="H26" s="42">
        <f t="shared" si="1"/>
        <v>0</v>
      </c>
    </row>
    <row r="27" spans="1:8" s="1" customFormat="1" ht="33.75" customHeight="1">
      <c r="A27" s="114" t="s">
        <v>202</v>
      </c>
      <c r="B27" s="47" t="s">
        <v>201</v>
      </c>
      <c r="C27" s="53">
        <f>1200+119.5</f>
        <v>1319.5</v>
      </c>
      <c r="D27" s="53">
        <v>1404.5</v>
      </c>
      <c r="E27" s="66">
        <f t="shared" si="0"/>
        <v>106.44183402804093</v>
      </c>
      <c r="F27" s="43">
        <f>1200000+119500</f>
        <v>1319500</v>
      </c>
      <c r="G27" s="43">
        <v>1319500</v>
      </c>
      <c r="H27" s="42">
        <f t="shared" si="1"/>
        <v>0</v>
      </c>
    </row>
    <row r="28" spans="1:8" s="1" customFormat="1" ht="81" hidden="1" customHeight="1">
      <c r="A28" s="114" t="s">
        <v>200</v>
      </c>
      <c r="B28" s="47" t="s">
        <v>199</v>
      </c>
      <c r="C28" s="53">
        <v>0</v>
      </c>
      <c r="D28" s="53">
        <v>0</v>
      </c>
      <c r="E28" s="66" t="e">
        <f t="shared" si="0"/>
        <v>#DIV/0!</v>
      </c>
      <c r="F28" s="43">
        <v>0</v>
      </c>
      <c r="G28" s="43">
        <v>0</v>
      </c>
      <c r="H28" s="42">
        <f t="shared" si="1"/>
        <v>0</v>
      </c>
    </row>
    <row r="29" spans="1:8" s="1" customFormat="1" ht="35.25" hidden="1" customHeight="1">
      <c r="A29" s="114" t="s">
        <v>198</v>
      </c>
      <c r="B29" s="47" t="s">
        <v>197</v>
      </c>
      <c r="C29" s="53"/>
      <c r="D29" s="53">
        <v>0</v>
      </c>
      <c r="E29" s="66" t="e">
        <f t="shared" si="0"/>
        <v>#DIV/0!</v>
      </c>
      <c r="F29" s="43"/>
      <c r="G29" s="43"/>
      <c r="H29" s="42">
        <f t="shared" si="1"/>
        <v>0</v>
      </c>
    </row>
    <row r="30" spans="1:8" s="1" customFormat="1" ht="34.5" hidden="1" customHeight="1">
      <c r="A30" s="124" t="s">
        <v>196</v>
      </c>
      <c r="B30" s="51" t="s">
        <v>195</v>
      </c>
      <c r="C30" s="46">
        <f>C31+C35+C36+C32+C33</f>
        <v>0</v>
      </c>
      <c r="D30" s="46">
        <f>D31+D35+D36+D32+D33</f>
        <v>0</v>
      </c>
      <c r="E30" s="44">
        <v>0</v>
      </c>
      <c r="F30" s="49">
        <f>F31+F35+F36+F32+F33</f>
        <v>0</v>
      </c>
      <c r="G30" s="49">
        <f>G31+G35+G36+G32+G33</f>
        <v>0</v>
      </c>
      <c r="H30" s="42">
        <f t="shared" si="1"/>
        <v>0</v>
      </c>
    </row>
    <row r="31" spans="1:8" s="1" customFormat="1" ht="21" hidden="1" customHeight="1">
      <c r="A31" s="114" t="s">
        <v>194</v>
      </c>
      <c r="B31" s="47" t="s">
        <v>193</v>
      </c>
      <c r="C31" s="53">
        <v>0</v>
      </c>
      <c r="D31" s="53"/>
      <c r="E31" s="66" t="e">
        <f>D31/C31*100</f>
        <v>#DIV/0!</v>
      </c>
      <c r="F31" s="43">
        <v>0</v>
      </c>
      <c r="G31" s="43">
        <v>0</v>
      </c>
      <c r="H31" s="42">
        <f t="shared" si="1"/>
        <v>0</v>
      </c>
    </row>
    <row r="32" spans="1:8" s="1" customFormat="1" ht="69" hidden="1" customHeight="1">
      <c r="A32" s="114" t="s">
        <v>192</v>
      </c>
      <c r="B32" s="47" t="s">
        <v>191</v>
      </c>
      <c r="C32" s="53">
        <v>0</v>
      </c>
      <c r="D32" s="53">
        <v>0</v>
      </c>
      <c r="E32" s="66" t="e">
        <f>D32/C32*100</f>
        <v>#DIV/0!</v>
      </c>
      <c r="F32" s="43">
        <v>0</v>
      </c>
      <c r="G32" s="43">
        <v>0</v>
      </c>
      <c r="H32" s="42">
        <f t="shared" si="1"/>
        <v>0</v>
      </c>
    </row>
    <row r="33" spans="1:8" s="1" customFormat="1" ht="21" hidden="1" customHeight="1">
      <c r="A33" s="114" t="s">
        <v>190</v>
      </c>
      <c r="B33" s="47" t="s">
        <v>189</v>
      </c>
      <c r="C33" s="53">
        <v>0</v>
      </c>
      <c r="D33" s="53">
        <v>0</v>
      </c>
      <c r="E33" s="66" t="e">
        <f>D33/C33*100</f>
        <v>#DIV/0!</v>
      </c>
      <c r="F33" s="43">
        <v>0</v>
      </c>
      <c r="G33" s="43">
        <v>0</v>
      </c>
      <c r="H33" s="42">
        <f t="shared" si="1"/>
        <v>0</v>
      </c>
    </row>
    <row r="34" spans="1:8" s="1" customFormat="1" hidden="1">
      <c r="A34" s="114" t="s">
        <v>188</v>
      </c>
      <c r="B34" s="47" t="s">
        <v>187</v>
      </c>
      <c r="C34" s="53">
        <v>0</v>
      </c>
      <c r="D34" s="53"/>
      <c r="E34" s="66" t="e">
        <f>D34/C34*100</f>
        <v>#DIV/0!</v>
      </c>
      <c r="F34" s="43">
        <v>0</v>
      </c>
      <c r="G34" s="43">
        <v>0</v>
      </c>
      <c r="H34" s="42">
        <f t="shared" si="1"/>
        <v>0</v>
      </c>
    </row>
    <row r="35" spans="1:8" s="1" customFormat="1" ht="20.25" hidden="1" customHeight="1">
      <c r="A35" s="114" t="s">
        <v>186</v>
      </c>
      <c r="B35" s="47" t="s">
        <v>185</v>
      </c>
      <c r="C35" s="53">
        <v>0</v>
      </c>
      <c r="D35" s="53"/>
      <c r="E35" s="66"/>
      <c r="F35" s="43">
        <v>0</v>
      </c>
      <c r="G35" s="43">
        <v>0</v>
      </c>
      <c r="H35" s="42">
        <f t="shared" si="1"/>
        <v>0</v>
      </c>
    </row>
    <row r="36" spans="1:8" s="1" customFormat="1" ht="33" hidden="1" customHeight="1">
      <c r="A36" s="114" t="s">
        <v>184</v>
      </c>
      <c r="B36" s="47" t="s">
        <v>183</v>
      </c>
      <c r="C36" s="53">
        <v>0</v>
      </c>
      <c r="D36" s="53">
        <v>0</v>
      </c>
      <c r="E36" s="66" t="e">
        <f>D36/C36*100</f>
        <v>#DIV/0!</v>
      </c>
      <c r="F36" s="43">
        <v>0</v>
      </c>
      <c r="G36" s="43">
        <v>0</v>
      </c>
      <c r="H36" s="42">
        <f t="shared" ref="H36:H67" si="2">G36-F36</f>
        <v>0</v>
      </c>
    </row>
    <row r="37" spans="1:8" s="1" customFormat="1" ht="24" customHeight="1">
      <c r="A37" s="125"/>
      <c r="B37" s="122" t="s">
        <v>182</v>
      </c>
      <c r="C37" s="121">
        <f>C38+C47+C52+C60+C61+C62+C49</f>
        <v>9464.9</v>
      </c>
      <c r="D37" s="121">
        <f>D38+D47+D52+D60+D61+D49</f>
        <v>9902.7000000000007</v>
      </c>
      <c r="E37" s="120">
        <f>D37/C37*100</f>
        <v>104.62551109890228</v>
      </c>
      <c r="F37" s="38">
        <f>F38+F47+F52+F60+F61+F62+F49</f>
        <v>9464900</v>
      </c>
      <c r="G37" s="38">
        <f>G38+G47+G52+G60+G61+G62+G49</f>
        <v>9464900</v>
      </c>
      <c r="H37" s="42">
        <f t="shared" si="2"/>
        <v>0</v>
      </c>
    </row>
    <row r="38" spans="1:8" s="1" customFormat="1" ht="37.5" customHeight="1">
      <c r="A38" s="124" t="s">
        <v>181</v>
      </c>
      <c r="B38" s="51" t="s">
        <v>180</v>
      </c>
      <c r="C38" s="46">
        <f>C39+C40+C41+C42+C45+C44+C43+C46</f>
        <v>2056</v>
      </c>
      <c r="D38" s="46">
        <f>D39+D40+D41+D42+D43+D44+D45+D46</f>
        <v>2146.4</v>
      </c>
      <c r="E38" s="44">
        <f>D38/C38*100</f>
        <v>104.39688715953308</v>
      </c>
      <c r="F38" s="49">
        <f>F39+F40+F41+F42+F45+F44+F43+F46</f>
        <v>2056000</v>
      </c>
      <c r="G38" s="49">
        <f>G39+G40+G41+G42+G45+G44+G43+G46</f>
        <v>2056000</v>
      </c>
      <c r="H38" s="42">
        <f t="shared" si="2"/>
        <v>0</v>
      </c>
    </row>
    <row r="39" spans="1:8" s="1" customFormat="1" ht="50.25" customHeight="1">
      <c r="A39" s="114" t="s">
        <v>179</v>
      </c>
      <c r="B39" s="47" t="s">
        <v>178</v>
      </c>
      <c r="C39" s="53">
        <v>2</v>
      </c>
      <c r="D39" s="53">
        <v>3.2</v>
      </c>
      <c r="E39" s="66">
        <v>0</v>
      </c>
      <c r="F39" s="43">
        <v>2000</v>
      </c>
      <c r="G39" s="43">
        <v>2000</v>
      </c>
      <c r="H39" s="42">
        <f t="shared" si="2"/>
        <v>0</v>
      </c>
    </row>
    <row r="40" spans="1:8" s="1" customFormat="1" ht="68.25" customHeight="1">
      <c r="A40" s="114" t="s">
        <v>177</v>
      </c>
      <c r="B40" s="47" t="s">
        <v>176</v>
      </c>
      <c r="C40" s="53">
        <v>520</v>
      </c>
      <c r="D40" s="53">
        <v>432.9</v>
      </c>
      <c r="E40" s="66">
        <f t="shared" ref="E40:E61" si="3">D40/C40*100</f>
        <v>83.249999999999986</v>
      </c>
      <c r="F40" s="43">
        <f>366000+154000</f>
        <v>520000</v>
      </c>
      <c r="G40" s="43">
        <f>366000+154000</f>
        <v>520000</v>
      </c>
      <c r="H40" s="42">
        <f t="shared" si="2"/>
        <v>0</v>
      </c>
    </row>
    <row r="41" spans="1:8" s="1" customFormat="1" ht="66.75" hidden="1" customHeight="1">
      <c r="A41" s="48" t="s">
        <v>175</v>
      </c>
      <c r="B41" s="47" t="s">
        <v>174</v>
      </c>
      <c r="C41" s="53">
        <v>0</v>
      </c>
      <c r="D41" s="53">
        <v>0</v>
      </c>
      <c r="E41" s="66" t="e">
        <f t="shared" si="3"/>
        <v>#DIV/0!</v>
      </c>
      <c r="F41" s="43">
        <v>0</v>
      </c>
      <c r="G41" s="43">
        <v>0</v>
      </c>
      <c r="H41" s="42">
        <f t="shared" si="2"/>
        <v>0</v>
      </c>
    </row>
    <row r="42" spans="1:8" s="1" customFormat="1" ht="67.5" customHeight="1">
      <c r="A42" s="48" t="s">
        <v>173</v>
      </c>
      <c r="B42" s="47" t="s">
        <v>172</v>
      </c>
      <c r="C42" s="53">
        <v>986</v>
      </c>
      <c r="D42" s="53">
        <v>1148.2</v>
      </c>
      <c r="E42" s="66">
        <f t="shared" si="3"/>
        <v>116.45030425963489</v>
      </c>
      <c r="F42" s="43">
        <v>986000</v>
      </c>
      <c r="G42" s="43">
        <v>986000</v>
      </c>
      <c r="H42" s="42">
        <f t="shared" si="2"/>
        <v>0</v>
      </c>
    </row>
    <row r="43" spans="1:8" s="1" customFormat="1" ht="67.5" customHeight="1">
      <c r="A43" s="48" t="s">
        <v>171</v>
      </c>
      <c r="B43" s="47" t="s">
        <v>170</v>
      </c>
      <c r="C43" s="53">
        <v>4</v>
      </c>
      <c r="D43" s="53">
        <v>4</v>
      </c>
      <c r="E43" s="66">
        <f t="shared" si="3"/>
        <v>100</v>
      </c>
      <c r="F43" s="43">
        <v>4000</v>
      </c>
      <c r="G43" s="43">
        <f>6000-2000</f>
        <v>4000</v>
      </c>
      <c r="H43" s="42">
        <f t="shared" si="2"/>
        <v>0</v>
      </c>
    </row>
    <row r="44" spans="1:8" s="1" customFormat="1" ht="53.25" hidden="1" customHeight="1">
      <c r="A44" s="48" t="s">
        <v>169</v>
      </c>
      <c r="B44" s="47" t="s">
        <v>168</v>
      </c>
      <c r="C44" s="53">
        <v>0</v>
      </c>
      <c r="D44" s="53">
        <v>0</v>
      </c>
      <c r="E44" s="66" t="e">
        <f t="shared" si="3"/>
        <v>#DIV/0!</v>
      </c>
      <c r="F44" s="43">
        <v>0</v>
      </c>
      <c r="G44" s="43">
        <v>0</v>
      </c>
      <c r="H44" s="42">
        <f t="shared" si="2"/>
        <v>0</v>
      </c>
    </row>
    <row r="45" spans="1:8" s="1" customFormat="1" ht="36" customHeight="1">
      <c r="A45" s="114" t="s">
        <v>167</v>
      </c>
      <c r="B45" s="47" t="s">
        <v>166</v>
      </c>
      <c r="C45" s="53">
        <v>538</v>
      </c>
      <c r="D45" s="53">
        <v>549.29999999999995</v>
      </c>
      <c r="E45" s="66">
        <f t="shared" si="3"/>
        <v>102.1003717472119</v>
      </c>
      <c r="F45" s="43">
        <f>386000+152000</f>
        <v>538000</v>
      </c>
      <c r="G45" s="43">
        <f>386000+152000</f>
        <v>538000</v>
      </c>
      <c r="H45" s="42">
        <f t="shared" si="2"/>
        <v>0</v>
      </c>
    </row>
    <row r="46" spans="1:8" s="1" customFormat="1" ht="67.5" customHeight="1">
      <c r="A46" s="114" t="s">
        <v>165</v>
      </c>
      <c r="B46" s="47" t="s">
        <v>164</v>
      </c>
      <c r="C46" s="53">
        <v>6</v>
      </c>
      <c r="D46" s="53">
        <v>8.8000000000000007</v>
      </c>
      <c r="E46" s="66">
        <f t="shared" si="3"/>
        <v>146.66666666666669</v>
      </c>
      <c r="F46" s="43">
        <v>6000</v>
      </c>
      <c r="G46" s="43">
        <f>6000</f>
        <v>6000</v>
      </c>
      <c r="H46" s="42">
        <f t="shared" si="2"/>
        <v>0</v>
      </c>
    </row>
    <row r="47" spans="1:8" s="1" customFormat="1" ht="24" customHeight="1">
      <c r="A47" s="52" t="s">
        <v>163</v>
      </c>
      <c r="B47" s="51" t="s">
        <v>162</v>
      </c>
      <c r="C47" s="46">
        <f>C48</f>
        <v>2932.4</v>
      </c>
      <c r="D47" s="46">
        <f>D48</f>
        <v>2932.4</v>
      </c>
      <c r="E47" s="44">
        <f t="shared" si="3"/>
        <v>100</v>
      </c>
      <c r="F47" s="49">
        <f>F48</f>
        <v>2932400</v>
      </c>
      <c r="G47" s="49">
        <f>G48</f>
        <v>2932400</v>
      </c>
      <c r="H47" s="42">
        <f t="shared" si="2"/>
        <v>0</v>
      </c>
    </row>
    <row r="48" spans="1:8" s="1" customFormat="1" ht="18.75" customHeight="1">
      <c r="A48" s="114" t="s">
        <v>161</v>
      </c>
      <c r="B48" s="47" t="s">
        <v>160</v>
      </c>
      <c r="C48" s="53">
        <f>2718.1+214.3</f>
        <v>2932.4</v>
      </c>
      <c r="D48" s="53">
        <v>2932.4</v>
      </c>
      <c r="E48" s="66">
        <f t="shared" si="3"/>
        <v>100</v>
      </c>
      <c r="F48" s="43">
        <f>1400000+1318100+214300</f>
        <v>2932400</v>
      </c>
      <c r="G48" s="43">
        <f>1400000+1318100+214300</f>
        <v>2932400</v>
      </c>
      <c r="H48" s="42">
        <f t="shared" si="2"/>
        <v>0</v>
      </c>
    </row>
    <row r="49" spans="1:8" s="1" customFormat="1" ht="35.25" customHeight="1">
      <c r="A49" s="124" t="s">
        <v>159</v>
      </c>
      <c r="B49" s="51" t="s">
        <v>158</v>
      </c>
      <c r="C49" s="46">
        <f>C50+C51</f>
        <v>2235.6999999999998</v>
      </c>
      <c r="D49" s="46">
        <f>D50+D51</f>
        <v>2470</v>
      </c>
      <c r="E49" s="44">
        <f t="shared" si="3"/>
        <v>110.47993916894039</v>
      </c>
      <c r="F49" s="49">
        <f>F50+F51</f>
        <v>2235700</v>
      </c>
      <c r="G49" s="49">
        <f>G50+G51</f>
        <v>2235700</v>
      </c>
      <c r="H49" s="42">
        <f t="shared" si="2"/>
        <v>0</v>
      </c>
    </row>
    <row r="50" spans="1:8" s="1" customFormat="1" ht="35.25" customHeight="1">
      <c r="A50" s="114" t="s">
        <v>157</v>
      </c>
      <c r="B50" s="47" t="s">
        <v>156</v>
      </c>
      <c r="C50" s="53">
        <f>1870+250.1</f>
        <v>2120.1</v>
      </c>
      <c r="D50" s="53">
        <v>2354.4</v>
      </c>
      <c r="E50" s="66">
        <f t="shared" si="3"/>
        <v>111.05136550162729</v>
      </c>
      <c r="F50" s="43">
        <f>1870000+250100</f>
        <v>2120100</v>
      </c>
      <c r="G50" s="43">
        <f>1870000+250100</f>
        <v>2120100</v>
      </c>
      <c r="H50" s="42">
        <f t="shared" si="2"/>
        <v>0</v>
      </c>
    </row>
    <row r="51" spans="1:8" s="1" customFormat="1" ht="21.75" customHeight="1">
      <c r="A51" s="114" t="s">
        <v>155</v>
      </c>
      <c r="B51" s="47" t="s">
        <v>154</v>
      </c>
      <c r="C51" s="53">
        <f>80+35.6</f>
        <v>115.6</v>
      </c>
      <c r="D51" s="53">
        <v>115.6</v>
      </c>
      <c r="E51" s="66">
        <f t="shared" si="3"/>
        <v>100</v>
      </c>
      <c r="F51" s="43">
        <f>80000+35600</f>
        <v>115600</v>
      </c>
      <c r="G51" s="43">
        <f>80000+35600</f>
        <v>115600</v>
      </c>
      <c r="H51" s="42">
        <f t="shared" si="2"/>
        <v>0</v>
      </c>
    </row>
    <row r="52" spans="1:8" s="1" customFormat="1" ht="20.25" customHeight="1">
      <c r="A52" s="124" t="s">
        <v>153</v>
      </c>
      <c r="B52" s="51" t="s">
        <v>152</v>
      </c>
      <c r="C52" s="46">
        <f>C54+C55+C56+C58+C59</f>
        <v>1133</v>
      </c>
      <c r="D52" s="46">
        <f>D54+D55+D56+D58+D59</f>
        <v>1189.8</v>
      </c>
      <c r="E52" s="44">
        <f t="shared" si="3"/>
        <v>105.01323918799648</v>
      </c>
      <c r="F52" s="49">
        <f>F54+F55+F56+F58+F59</f>
        <v>1133000</v>
      </c>
      <c r="G52" s="49">
        <f>G54+G55+G56+G58+G59</f>
        <v>1133000</v>
      </c>
      <c r="H52" s="42">
        <f t="shared" si="2"/>
        <v>0</v>
      </c>
    </row>
    <row r="53" spans="1:8" s="1" customFormat="1" ht="30.75" hidden="1" customHeight="1">
      <c r="A53" s="114"/>
      <c r="B53" s="47"/>
      <c r="C53" s="53">
        <v>0</v>
      </c>
      <c r="D53" s="53"/>
      <c r="E53" s="66" t="e">
        <f t="shared" si="3"/>
        <v>#DIV/0!</v>
      </c>
      <c r="F53" s="43">
        <v>0</v>
      </c>
      <c r="G53" s="43">
        <v>0</v>
      </c>
      <c r="H53" s="42">
        <f t="shared" si="2"/>
        <v>0</v>
      </c>
    </row>
    <row r="54" spans="1:8" s="1" customFormat="1" ht="69.75" customHeight="1">
      <c r="A54" s="114" t="s">
        <v>151</v>
      </c>
      <c r="B54" s="47" t="s">
        <v>150</v>
      </c>
      <c r="C54" s="53">
        <v>830</v>
      </c>
      <c r="D54" s="53">
        <v>828.3</v>
      </c>
      <c r="E54" s="66">
        <f t="shared" si="3"/>
        <v>99.795180722891558</v>
      </c>
      <c r="F54" s="43">
        <v>830000</v>
      </c>
      <c r="G54" s="43">
        <v>830000</v>
      </c>
      <c r="H54" s="42">
        <f t="shared" si="2"/>
        <v>0</v>
      </c>
    </row>
    <row r="55" spans="1:8" s="1" customFormat="1" ht="66.75" customHeight="1">
      <c r="A55" s="114" t="s">
        <v>149</v>
      </c>
      <c r="B55" s="47" t="s">
        <v>148</v>
      </c>
      <c r="C55" s="53">
        <v>3</v>
      </c>
      <c r="D55" s="53">
        <v>2.1</v>
      </c>
      <c r="E55" s="66">
        <f t="shared" si="3"/>
        <v>70</v>
      </c>
      <c r="F55" s="43">
        <v>3000</v>
      </c>
      <c r="G55" s="43">
        <f>5000-2000</f>
        <v>3000</v>
      </c>
      <c r="H55" s="42">
        <f t="shared" si="2"/>
        <v>0</v>
      </c>
    </row>
    <row r="56" spans="1:8" s="1" customFormat="1" ht="50.25" customHeight="1">
      <c r="A56" s="114" t="s">
        <v>147</v>
      </c>
      <c r="B56" s="47" t="s">
        <v>146</v>
      </c>
      <c r="C56" s="53">
        <v>145</v>
      </c>
      <c r="D56" s="53">
        <v>175.7</v>
      </c>
      <c r="E56" s="66">
        <f t="shared" si="3"/>
        <v>121.17241379310344</v>
      </c>
      <c r="F56" s="43">
        <v>145000</v>
      </c>
      <c r="G56" s="43">
        <f>100000+45000</f>
        <v>145000</v>
      </c>
      <c r="H56" s="42">
        <f t="shared" si="2"/>
        <v>0</v>
      </c>
    </row>
    <row r="57" spans="1:8" s="1" customFormat="1" ht="42" hidden="1" customHeight="1">
      <c r="A57" s="114" t="s">
        <v>145</v>
      </c>
      <c r="B57" s="47" t="s">
        <v>144</v>
      </c>
      <c r="C57" s="53">
        <v>0</v>
      </c>
      <c r="D57" s="53">
        <v>0</v>
      </c>
      <c r="E57" s="66" t="e">
        <f t="shared" si="3"/>
        <v>#DIV/0!</v>
      </c>
      <c r="F57" s="43">
        <v>0</v>
      </c>
      <c r="G57" s="43">
        <v>0</v>
      </c>
      <c r="H57" s="42">
        <f t="shared" si="2"/>
        <v>0</v>
      </c>
    </row>
    <row r="58" spans="1:8" s="1" customFormat="1" ht="36" customHeight="1">
      <c r="A58" s="114" t="s">
        <v>143</v>
      </c>
      <c r="B58" s="47" t="s">
        <v>142</v>
      </c>
      <c r="C58" s="53">
        <v>155</v>
      </c>
      <c r="D58" s="53">
        <v>183.7</v>
      </c>
      <c r="E58" s="66">
        <f t="shared" si="3"/>
        <v>118.51612903225805</v>
      </c>
      <c r="F58" s="43">
        <v>155000</v>
      </c>
      <c r="G58" s="43">
        <f>90000+65000</f>
        <v>155000</v>
      </c>
      <c r="H58" s="42">
        <f t="shared" si="2"/>
        <v>0</v>
      </c>
    </row>
    <row r="59" spans="1:8" s="1" customFormat="1" ht="48" hidden="1" customHeight="1">
      <c r="A59" s="114" t="s">
        <v>141</v>
      </c>
      <c r="B59" s="47" t="s">
        <v>140</v>
      </c>
      <c r="C59" s="53">
        <v>0</v>
      </c>
      <c r="D59" s="53">
        <v>0</v>
      </c>
      <c r="E59" s="66" t="e">
        <f t="shared" si="3"/>
        <v>#DIV/0!</v>
      </c>
      <c r="F59" s="43">
        <v>0</v>
      </c>
      <c r="G59" s="43">
        <v>0</v>
      </c>
      <c r="H59" s="42">
        <f t="shared" si="2"/>
        <v>0</v>
      </c>
    </row>
    <row r="60" spans="1:8" s="1" customFormat="1" ht="25.5" customHeight="1">
      <c r="A60" s="124" t="s">
        <v>139</v>
      </c>
      <c r="B60" s="51" t="s">
        <v>138</v>
      </c>
      <c r="C60" s="46">
        <f>800+297.8</f>
        <v>1097.8</v>
      </c>
      <c r="D60" s="46">
        <v>1133.5</v>
      </c>
      <c r="E60" s="44">
        <f t="shared" si="3"/>
        <v>103.25195846237931</v>
      </c>
      <c r="F60" s="49">
        <f>609000+191000+297800</f>
        <v>1097800</v>
      </c>
      <c r="G60" s="49">
        <f>609000+191000+297800</f>
        <v>1097800</v>
      </c>
      <c r="H60" s="42">
        <f t="shared" si="2"/>
        <v>0</v>
      </c>
    </row>
    <row r="61" spans="1:8" s="1" customFormat="1" ht="24.75" customHeight="1">
      <c r="A61" s="124" t="s">
        <v>137</v>
      </c>
      <c r="B61" s="51" t="s">
        <v>136</v>
      </c>
      <c r="C61" s="46">
        <f>C62+C63</f>
        <v>10</v>
      </c>
      <c r="D61" s="46">
        <f>D62+D63</f>
        <v>30.6</v>
      </c>
      <c r="E61" s="44">
        <f t="shared" si="3"/>
        <v>306</v>
      </c>
      <c r="F61" s="49">
        <f>F62+F63</f>
        <v>10000</v>
      </c>
      <c r="G61" s="49">
        <f>G62+G63</f>
        <v>10000</v>
      </c>
      <c r="H61" s="42">
        <f t="shared" si="2"/>
        <v>0</v>
      </c>
    </row>
    <row r="62" spans="1:8" s="1" customFormat="1" ht="20.25" customHeight="1">
      <c r="A62" s="114" t="s">
        <v>135</v>
      </c>
      <c r="B62" s="47" t="s">
        <v>134</v>
      </c>
      <c r="C62" s="53">
        <v>0</v>
      </c>
      <c r="D62" s="53">
        <v>0</v>
      </c>
      <c r="E62" s="44">
        <v>0</v>
      </c>
      <c r="F62" s="43">
        <v>0</v>
      </c>
      <c r="G62" s="43">
        <v>0</v>
      </c>
      <c r="H62" s="42">
        <f t="shared" si="2"/>
        <v>0</v>
      </c>
    </row>
    <row r="63" spans="1:8" s="1" customFormat="1" ht="22.5" customHeight="1">
      <c r="A63" s="114" t="s">
        <v>133</v>
      </c>
      <c r="B63" s="47" t="s">
        <v>132</v>
      </c>
      <c r="C63" s="59">
        <v>10</v>
      </c>
      <c r="D63" s="53">
        <v>30.6</v>
      </c>
      <c r="E63" s="44">
        <f t="shared" ref="E63:E99" si="4">D63/C63*100</f>
        <v>306</v>
      </c>
      <c r="F63" s="79">
        <f>50000-40000</f>
        <v>10000</v>
      </c>
      <c r="G63" s="79">
        <f>50000-40000</f>
        <v>10000</v>
      </c>
      <c r="H63" s="42">
        <f t="shared" si="2"/>
        <v>0</v>
      </c>
    </row>
    <row r="64" spans="1:8" s="1" customFormat="1" ht="22.5" customHeight="1">
      <c r="A64" s="123" t="s">
        <v>131</v>
      </c>
      <c r="B64" s="122" t="s">
        <v>130</v>
      </c>
      <c r="C64" s="121">
        <f>C65+C99+C126+C143+C68</f>
        <v>436961.42599999998</v>
      </c>
      <c r="D64" s="121">
        <f>D65+D99+D126+D143+D68+D145+D147</f>
        <v>431243.56800000009</v>
      </c>
      <c r="E64" s="120">
        <f t="shared" si="4"/>
        <v>98.691450169333734</v>
      </c>
      <c r="F64" s="38">
        <f>F65+F99+F126+F144+F68</f>
        <v>436961425.57999998</v>
      </c>
      <c r="G64" s="38">
        <f>G65+G99+G126+G144+G68</f>
        <v>436773709.57999998</v>
      </c>
      <c r="H64" s="42">
        <f t="shared" si="2"/>
        <v>-187716</v>
      </c>
    </row>
    <row r="65" spans="1:12" s="6" customFormat="1" ht="25.5" customHeight="1">
      <c r="A65" s="119" t="s">
        <v>129</v>
      </c>
      <c r="B65" s="118" t="s">
        <v>128</v>
      </c>
      <c r="C65" s="89">
        <f>C66+C67</f>
        <v>128162.1</v>
      </c>
      <c r="D65" s="89">
        <f>D66+D67</f>
        <v>128162.1</v>
      </c>
      <c r="E65" s="117">
        <f t="shared" si="4"/>
        <v>100</v>
      </c>
      <c r="F65" s="80">
        <f>F66+F67</f>
        <v>128162100</v>
      </c>
      <c r="G65" s="80">
        <f>G66+G67</f>
        <v>128162100</v>
      </c>
      <c r="H65" s="42">
        <f t="shared" si="2"/>
        <v>0</v>
      </c>
      <c r="I65" s="2"/>
      <c r="J65" s="1"/>
      <c r="K65" s="1"/>
      <c r="L65" s="1"/>
    </row>
    <row r="66" spans="1:12" s="6" customFormat="1" ht="35.25" customHeight="1">
      <c r="A66" s="116" t="s">
        <v>127</v>
      </c>
      <c r="B66" s="47" t="s">
        <v>126</v>
      </c>
      <c r="C66" s="59">
        <f>65860.1+5216.9+100.5</f>
        <v>71177.5</v>
      </c>
      <c r="D66" s="59">
        <v>71177.5</v>
      </c>
      <c r="E66" s="66">
        <f t="shared" si="4"/>
        <v>100</v>
      </c>
      <c r="F66" s="79">
        <f>65860100+5216900+100500</f>
        <v>71177500</v>
      </c>
      <c r="G66" s="115">
        <f>65860100+5216900+100500</f>
        <v>71177500</v>
      </c>
      <c r="H66" s="42">
        <f t="shared" si="2"/>
        <v>0</v>
      </c>
      <c r="I66" s="2"/>
      <c r="J66" s="1"/>
      <c r="K66" s="1"/>
      <c r="L66" s="1"/>
    </row>
    <row r="67" spans="1:12" s="6" customFormat="1" ht="49.5" customHeight="1">
      <c r="A67" s="114" t="s">
        <v>125</v>
      </c>
      <c r="B67" s="113" t="s">
        <v>124</v>
      </c>
      <c r="C67" s="53">
        <f>50346.9+6637.7</f>
        <v>56984.6</v>
      </c>
      <c r="D67" s="53">
        <v>56984.6</v>
      </c>
      <c r="E67" s="66">
        <f t="shared" si="4"/>
        <v>100</v>
      </c>
      <c r="F67" s="43">
        <f>50346900+6637700</f>
        <v>56984600</v>
      </c>
      <c r="G67" s="103">
        <f>50346900+6637700</f>
        <v>56984600</v>
      </c>
      <c r="H67" s="42">
        <f t="shared" si="2"/>
        <v>0</v>
      </c>
      <c r="I67" s="2"/>
      <c r="J67" s="1"/>
      <c r="K67" s="1"/>
      <c r="L67" s="1"/>
    </row>
    <row r="68" spans="1:12" s="6" customFormat="1" ht="34.5" customHeight="1">
      <c r="A68" s="112" t="s">
        <v>123</v>
      </c>
      <c r="B68" s="111" t="s">
        <v>122</v>
      </c>
      <c r="C68" s="46">
        <f>C71+C73+C74+C77+C78+C80+C81+C82+C83+C85+C70+C76+C72+C75+C69+C79</f>
        <v>143265.63999999998</v>
      </c>
      <c r="D68" s="89">
        <f>D71+D73+D74+D77+D78+D80+D81+D82+D83+D85+D70+D76+D72+D75+D69+D79</f>
        <v>139255.5</v>
      </c>
      <c r="E68" s="44">
        <f t="shared" si="4"/>
        <v>97.200905953444263</v>
      </c>
      <c r="F68" s="49">
        <f>F71+F73+F74+F77+F78+F80+F81+F82+F83+F85+F70+F76+F72+F75+F69+F79</f>
        <v>143265629.32999998</v>
      </c>
      <c r="G68" s="110">
        <f>G71+G73+G74+G77+G78+G80+G81+G82+G83+G85+G70+G76+G72+G75+G69+G79</f>
        <v>143265629.32999998</v>
      </c>
      <c r="H68" s="42">
        <f t="shared" ref="H68:H99" si="5">G68-F68</f>
        <v>0</v>
      </c>
      <c r="I68" s="2"/>
      <c r="J68" s="1"/>
      <c r="K68" s="1"/>
      <c r="L68" s="1"/>
    </row>
    <row r="69" spans="1:12" s="6" customFormat="1" ht="34.5" hidden="1" customHeight="1">
      <c r="A69" s="105" t="s">
        <v>121</v>
      </c>
      <c r="B69" s="67" t="s">
        <v>120</v>
      </c>
      <c r="C69" s="53">
        <v>0</v>
      </c>
      <c r="D69" s="53">
        <v>0</v>
      </c>
      <c r="E69" s="66" t="e">
        <f t="shared" si="4"/>
        <v>#DIV/0!</v>
      </c>
      <c r="F69" s="43">
        <v>0</v>
      </c>
      <c r="G69" s="103">
        <v>0</v>
      </c>
      <c r="H69" s="42">
        <f t="shared" si="5"/>
        <v>0</v>
      </c>
      <c r="I69" s="2"/>
      <c r="J69" s="1"/>
      <c r="K69" s="1"/>
      <c r="L69" s="1"/>
    </row>
    <row r="70" spans="1:12" s="6" customFormat="1" ht="84.75" customHeight="1">
      <c r="A70" s="105" t="s">
        <v>119</v>
      </c>
      <c r="B70" s="67" t="s">
        <v>118</v>
      </c>
      <c r="C70" s="53">
        <v>70332.800000000003</v>
      </c>
      <c r="D70" s="59">
        <v>66523.3</v>
      </c>
      <c r="E70" s="66">
        <f t="shared" si="4"/>
        <v>94.583608216934351</v>
      </c>
      <c r="F70" s="43">
        <v>70332833.409999996</v>
      </c>
      <c r="G70" s="103">
        <v>70332833.409999996</v>
      </c>
      <c r="H70" s="42">
        <f t="shared" si="5"/>
        <v>0</v>
      </c>
      <c r="I70" s="2"/>
      <c r="J70" s="1"/>
      <c r="K70" s="5"/>
      <c r="L70" s="1"/>
    </row>
    <row r="71" spans="1:12" s="6" customFormat="1" ht="68.25" customHeight="1">
      <c r="A71" s="107" t="s">
        <v>117</v>
      </c>
      <c r="B71" s="109" t="s">
        <v>116</v>
      </c>
      <c r="C71" s="53">
        <v>29986.5</v>
      </c>
      <c r="D71" s="59">
        <v>29845.8</v>
      </c>
      <c r="E71" s="66">
        <f t="shared" si="4"/>
        <v>99.530788854984735</v>
      </c>
      <c r="F71" s="43">
        <v>29986472.02</v>
      </c>
      <c r="G71" s="103">
        <v>29986472.02</v>
      </c>
      <c r="H71" s="42">
        <f t="shared" si="5"/>
        <v>0</v>
      </c>
      <c r="I71" s="2"/>
      <c r="J71" s="1"/>
      <c r="K71" s="1"/>
      <c r="L71" s="1"/>
    </row>
    <row r="72" spans="1:12" s="6" customFormat="1" ht="51.75" customHeight="1">
      <c r="A72" s="107" t="s">
        <v>115</v>
      </c>
      <c r="B72" s="67" t="s">
        <v>114</v>
      </c>
      <c r="C72" s="53">
        <v>1380.6</v>
      </c>
      <c r="D72" s="53">
        <v>1380.6</v>
      </c>
      <c r="E72" s="66">
        <f t="shared" si="4"/>
        <v>100</v>
      </c>
      <c r="F72" s="43">
        <v>1380625.03</v>
      </c>
      <c r="G72" s="103">
        <f>1380625+0.03</f>
        <v>1380625.03</v>
      </c>
      <c r="H72" s="42">
        <f t="shared" si="5"/>
        <v>0</v>
      </c>
      <c r="I72" s="2"/>
      <c r="J72" s="1"/>
      <c r="K72" s="1"/>
      <c r="L72" s="1"/>
    </row>
    <row r="73" spans="1:12" s="6" customFormat="1" ht="54" hidden="1" customHeight="1">
      <c r="A73" s="107" t="s">
        <v>113</v>
      </c>
      <c r="B73" s="54" t="s">
        <v>112</v>
      </c>
      <c r="C73" s="53">
        <v>0</v>
      </c>
      <c r="D73" s="53">
        <v>0</v>
      </c>
      <c r="E73" s="66" t="e">
        <f t="shared" si="4"/>
        <v>#DIV/0!</v>
      </c>
      <c r="F73" s="43">
        <v>0</v>
      </c>
      <c r="G73" s="103">
        <v>0</v>
      </c>
      <c r="H73" s="42">
        <f t="shared" si="5"/>
        <v>0</v>
      </c>
      <c r="I73" s="2"/>
      <c r="J73" s="1"/>
      <c r="K73" s="1"/>
      <c r="L73" s="1"/>
    </row>
    <row r="74" spans="1:12" s="6" customFormat="1" ht="48" customHeight="1">
      <c r="A74" s="107" t="s">
        <v>111</v>
      </c>
      <c r="B74" s="108" t="s">
        <v>110</v>
      </c>
      <c r="C74" s="53">
        <v>3169.8</v>
      </c>
      <c r="D74" s="53">
        <v>3169.8</v>
      </c>
      <c r="E74" s="66">
        <f t="shared" si="4"/>
        <v>100</v>
      </c>
      <c r="F74" s="43">
        <v>3169800</v>
      </c>
      <c r="G74" s="103">
        <v>3169800</v>
      </c>
      <c r="H74" s="42">
        <f t="shared" si="5"/>
        <v>0</v>
      </c>
      <c r="I74" s="2"/>
      <c r="J74" s="1"/>
      <c r="K74" s="1"/>
      <c r="L74" s="1"/>
    </row>
    <row r="75" spans="1:12" s="6" customFormat="1" ht="36.75" hidden="1" customHeight="1">
      <c r="A75" s="107" t="s">
        <v>109</v>
      </c>
      <c r="B75" s="108" t="s">
        <v>108</v>
      </c>
      <c r="C75" s="53">
        <v>0</v>
      </c>
      <c r="D75" s="53">
        <v>0</v>
      </c>
      <c r="E75" s="66" t="e">
        <f t="shared" si="4"/>
        <v>#DIV/0!</v>
      </c>
      <c r="F75" s="43">
        <v>0</v>
      </c>
      <c r="G75" s="103">
        <v>0</v>
      </c>
      <c r="H75" s="42">
        <f t="shared" si="5"/>
        <v>0</v>
      </c>
      <c r="I75" s="2"/>
      <c r="J75" s="1"/>
      <c r="K75" s="1"/>
      <c r="L75" s="1"/>
    </row>
    <row r="76" spans="1:12" s="6" customFormat="1" ht="48.75" customHeight="1">
      <c r="A76" s="107" t="s">
        <v>107</v>
      </c>
      <c r="B76" s="54" t="s">
        <v>106</v>
      </c>
      <c r="C76" s="53">
        <v>7351.8</v>
      </c>
      <c r="D76" s="53">
        <v>7351.8</v>
      </c>
      <c r="E76" s="66">
        <f t="shared" si="4"/>
        <v>100</v>
      </c>
      <c r="F76" s="43">
        <v>7351800</v>
      </c>
      <c r="G76" s="103">
        <v>7351800</v>
      </c>
      <c r="H76" s="42">
        <f t="shared" si="5"/>
        <v>0</v>
      </c>
      <c r="I76" s="2"/>
      <c r="J76" s="1"/>
      <c r="K76" s="1"/>
      <c r="L76" s="1"/>
    </row>
    <row r="77" spans="1:12" s="6" customFormat="1" ht="36.75" hidden="1" customHeight="1">
      <c r="A77" s="107" t="s">
        <v>105</v>
      </c>
      <c r="B77" s="106" t="s">
        <v>104</v>
      </c>
      <c r="C77" s="53">
        <v>0</v>
      </c>
      <c r="D77" s="53">
        <v>0</v>
      </c>
      <c r="E77" s="66" t="e">
        <f t="shared" si="4"/>
        <v>#DIV/0!</v>
      </c>
      <c r="F77" s="43">
        <v>0</v>
      </c>
      <c r="G77" s="103">
        <v>0</v>
      </c>
      <c r="H77" s="42">
        <f t="shared" si="5"/>
        <v>0</v>
      </c>
      <c r="I77" s="2"/>
      <c r="J77" s="1"/>
      <c r="K77" s="1"/>
      <c r="L77" s="1"/>
    </row>
    <row r="78" spans="1:12" s="6" customFormat="1" ht="49.5" hidden="1" customHeight="1">
      <c r="A78" s="105" t="s">
        <v>103</v>
      </c>
      <c r="B78" s="104" t="s">
        <v>102</v>
      </c>
      <c r="C78" s="53">
        <v>0</v>
      </c>
      <c r="D78" s="53">
        <v>0</v>
      </c>
      <c r="E78" s="66" t="e">
        <f t="shared" si="4"/>
        <v>#DIV/0!</v>
      </c>
      <c r="F78" s="43">
        <v>0</v>
      </c>
      <c r="G78" s="103">
        <v>0</v>
      </c>
      <c r="H78" s="42">
        <f t="shared" si="5"/>
        <v>0</v>
      </c>
      <c r="I78" s="2"/>
      <c r="J78" s="1"/>
      <c r="K78" s="1"/>
      <c r="L78" s="1"/>
    </row>
    <row r="79" spans="1:12" s="6" customFormat="1" ht="38.25" customHeight="1">
      <c r="A79" s="105" t="s">
        <v>101</v>
      </c>
      <c r="B79" s="104" t="s">
        <v>100</v>
      </c>
      <c r="C79" s="53">
        <v>795.9</v>
      </c>
      <c r="D79" s="53">
        <v>795.9</v>
      </c>
      <c r="E79" s="66">
        <f t="shared" si="4"/>
        <v>100</v>
      </c>
      <c r="F79" s="43">
        <v>795937.5</v>
      </c>
      <c r="G79" s="103">
        <v>795937.5</v>
      </c>
      <c r="H79" s="42">
        <f t="shared" si="5"/>
        <v>0</v>
      </c>
      <c r="I79" s="2"/>
      <c r="J79" s="1"/>
      <c r="K79" s="1"/>
      <c r="L79" s="1"/>
    </row>
    <row r="80" spans="1:12" s="6" customFormat="1" ht="34.5" customHeight="1">
      <c r="A80" s="102" t="s">
        <v>99</v>
      </c>
      <c r="B80" s="67" t="s">
        <v>98</v>
      </c>
      <c r="C80" s="53">
        <v>271.8</v>
      </c>
      <c r="D80" s="53">
        <v>271.8</v>
      </c>
      <c r="E80" s="66">
        <f t="shared" si="4"/>
        <v>100</v>
      </c>
      <c r="F80" s="43">
        <v>271800</v>
      </c>
      <c r="G80" s="103">
        <v>271800</v>
      </c>
      <c r="H80" s="42">
        <f t="shared" si="5"/>
        <v>0</v>
      </c>
      <c r="I80" s="2"/>
      <c r="J80" s="1"/>
      <c r="K80" s="1"/>
      <c r="L80" s="1"/>
    </row>
    <row r="81" spans="1:12" s="6" customFormat="1" ht="20.25" customHeight="1">
      <c r="A81" s="102" t="s">
        <v>97</v>
      </c>
      <c r="B81" s="67" t="s">
        <v>96</v>
      </c>
      <c r="C81" s="53">
        <v>324.7</v>
      </c>
      <c r="D81" s="59">
        <v>324.7</v>
      </c>
      <c r="E81" s="66">
        <f t="shared" si="4"/>
        <v>100</v>
      </c>
      <c r="F81" s="43">
        <v>324680</v>
      </c>
      <c r="G81" s="103">
        <v>324680</v>
      </c>
      <c r="H81" s="42">
        <f t="shared" si="5"/>
        <v>0</v>
      </c>
      <c r="I81" s="2"/>
      <c r="J81" s="1"/>
      <c r="K81" s="1"/>
      <c r="L81" s="1"/>
    </row>
    <row r="82" spans="1:12" s="6" customFormat="1" ht="37.5" customHeight="1">
      <c r="A82" s="102" t="s">
        <v>95</v>
      </c>
      <c r="B82" s="67" t="s">
        <v>94</v>
      </c>
      <c r="C82" s="53">
        <v>1232.8</v>
      </c>
      <c r="D82" s="53">
        <v>1232.8</v>
      </c>
      <c r="E82" s="66">
        <f t="shared" si="4"/>
        <v>100</v>
      </c>
      <c r="F82" s="43">
        <v>1232790.3</v>
      </c>
      <c r="G82" s="103">
        <v>1232790.3</v>
      </c>
      <c r="H82" s="42">
        <f t="shared" si="5"/>
        <v>0</v>
      </c>
      <c r="I82" s="2"/>
      <c r="J82" s="1"/>
      <c r="K82" s="1"/>
      <c r="L82" s="1"/>
    </row>
    <row r="83" spans="1:12" s="6" customFormat="1" ht="65.25" customHeight="1">
      <c r="A83" s="102" t="s">
        <v>93</v>
      </c>
      <c r="B83" s="67" t="s">
        <v>92</v>
      </c>
      <c r="C83" s="53">
        <v>451.5</v>
      </c>
      <c r="D83" s="53">
        <v>431.2</v>
      </c>
      <c r="E83" s="66">
        <f t="shared" si="4"/>
        <v>95.503875968992247</v>
      </c>
      <c r="F83" s="43">
        <v>451511.46</v>
      </c>
      <c r="G83" s="103">
        <v>451511.46</v>
      </c>
      <c r="H83" s="42">
        <f t="shared" si="5"/>
        <v>0</v>
      </c>
      <c r="I83" s="2"/>
      <c r="J83" s="1"/>
      <c r="K83" s="1"/>
      <c r="L83" s="1"/>
    </row>
    <row r="84" spans="1:12" s="6" customFormat="1" ht="56.25" hidden="1" customHeight="1">
      <c r="A84" s="102" t="s">
        <v>91</v>
      </c>
      <c r="B84" s="67" t="s">
        <v>90</v>
      </c>
      <c r="C84" s="53"/>
      <c r="D84" s="53"/>
      <c r="E84" s="66" t="e">
        <f t="shared" si="4"/>
        <v>#DIV/0!</v>
      </c>
      <c r="F84" s="43"/>
      <c r="G84" s="43"/>
      <c r="H84" s="42">
        <f t="shared" si="5"/>
        <v>0</v>
      </c>
      <c r="I84" s="2"/>
      <c r="J84" s="1"/>
      <c r="K84" s="1"/>
      <c r="L84" s="1"/>
    </row>
    <row r="85" spans="1:12" s="6" customFormat="1" ht="15.75" customHeight="1">
      <c r="A85" s="48" t="s">
        <v>89</v>
      </c>
      <c r="B85" s="47" t="s">
        <v>88</v>
      </c>
      <c r="C85" s="59">
        <f>C86+C87+C88+C89+C90+C91+C92+C93+C94+C95+C96+C97+C98</f>
        <v>27967.439999999995</v>
      </c>
      <c r="D85" s="59">
        <f>D86+D87+D88+D89+D90+D91+D92+D93+D94+D95+D96+D97+D98</f>
        <v>27927.799999999996</v>
      </c>
      <c r="E85" s="66">
        <f t="shared" si="4"/>
        <v>99.858263752420669</v>
      </c>
      <c r="F85" s="99">
        <f>F86+F87+F88+F89+F90+F91+F92+F93+F94+F95+F96+F97+F98</f>
        <v>27967379.609999999</v>
      </c>
      <c r="G85" s="101">
        <f>G86+G87+G88+G89+G90+G91+G92+G93+G94+G95+G96+G97+G98</f>
        <v>27967379.609999999</v>
      </c>
      <c r="H85" s="72">
        <f t="shared" si="5"/>
        <v>0</v>
      </c>
      <c r="I85" s="2"/>
      <c r="J85" s="1"/>
      <c r="K85" s="1"/>
      <c r="L85" s="1"/>
    </row>
    <row r="86" spans="1:12" s="6" customFormat="1" ht="36" hidden="1" customHeight="1">
      <c r="A86" s="154"/>
      <c r="B86" s="98" t="s">
        <v>87</v>
      </c>
      <c r="C86" s="96">
        <v>5019.8</v>
      </c>
      <c r="D86" s="53">
        <v>5019.8</v>
      </c>
      <c r="E86" s="66">
        <f t="shared" si="4"/>
        <v>100</v>
      </c>
      <c r="F86" s="79">
        <v>5019800</v>
      </c>
      <c r="G86" s="79">
        <v>5019800</v>
      </c>
      <c r="H86" s="42">
        <f t="shared" si="5"/>
        <v>0</v>
      </c>
      <c r="I86" s="2"/>
      <c r="J86" s="1"/>
      <c r="K86" s="1"/>
      <c r="L86" s="1"/>
    </row>
    <row r="87" spans="1:12" ht="33.75" hidden="1" customHeight="1">
      <c r="A87" s="155"/>
      <c r="B87" s="67" t="s">
        <v>86</v>
      </c>
      <c r="C87" s="96">
        <v>3500</v>
      </c>
      <c r="D87" s="53">
        <v>3500</v>
      </c>
      <c r="E87" s="66">
        <f t="shared" si="4"/>
        <v>100</v>
      </c>
      <c r="F87" s="79">
        <v>3500000</v>
      </c>
      <c r="G87" s="79">
        <v>3500000</v>
      </c>
      <c r="H87" s="42">
        <f t="shared" si="5"/>
        <v>0</v>
      </c>
    </row>
    <row r="88" spans="1:12" s="6" customFormat="1" ht="36.75" hidden="1" customHeight="1">
      <c r="A88" s="155"/>
      <c r="B88" s="67" t="s">
        <v>85</v>
      </c>
      <c r="C88" s="96">
        <v>7687.3</v>
      </c>
      <c r="D88" s="59">
        <v>7687.3</v>
      </c>
      <c r="E88" s="66">
        <f t="shared" si="4"/>
        <v>100</v>
      </c>
      <c r="F88" s="79">
        <v>7687300</v>
      </c>
      <c r="G88" s="79">
        <v>7687300</v>
      </c>
      <c r="H88" s="42">
        <f t="shared" si="5"/>
        <v>0</v>
      </c>
      <c r="I88" s="2"/>
      <c r="J88" s="1"/>
      <c r="K88" s="1"/>
      <c r="L88" s="1"/>
    </row>
    <row r="89" spans="1:12" s="6" customFormat="1" ht="38.25" hidden="1" customHeight="1">
      <c r="A89" s="155"/>
      <c r="B89" s="67" t="s">
        <v>84</v>
      </c>
      <c r="C89" s="96">
        <f>311.9-60.6</f>
        <v>251.29999999999998</v>
      </c>
      <c r="D89" s="53">
        <v>251.3</v>
      </c>
      <c r="E89" s="66">
        <f t="shared" si="4"/>
        <v>100.00000000000003</v>
      </c>
      <c r="F89" s="79">
        <f>311900-60600</f>
        <v>251300</v>
      </c>
      <c r="G89" s="79">
        <f>311900-60600</f>
        <v>251300</v>
      </c>
      <c r="H89" s="42">
        <f t="shared" si="5"/>
        <v>0</v>
      </c>
      <c r="I89" s="2"/>
      <c r="J89" s="1"/>
      <c r="K89" s="1"/>
      <c r="L89" s="1"/>
    </row>
    <row r="90" spans="1:12" s="6" customFormat="1" ht="33" hidden="1" customHeight="1">
      <c r="A90" s="155"/>
      <c r="B90" s="100" t="s">
        <v>83</v>
      </c>
      <c r="C90" s="96">
        <v>2357.5</v>
      </c>
      <c r="D90" s="53">
        <v>2357.5</v>
      </c>
      <c r="E90" s="66">
        <f t="shared" si="4"/>
        <v>100</v>
      </c>
      <c r="F90" s="99">
        <f>2357487-0.79</f>
        <v>2357486.21</v>
      </c>
      <c r="G90" s="79">
        <v>2357486.21</v>
      </c>
      <c r="H90" s="72">
        <f t="shared" si="5"/>
        <v>0</v>
      </c>
      <c r="I90" s="2"/>
      <c r="J90" s="1"/>
      <c r="K90" s="1"/>
      <c r="L90" s="1"/>
    </row>
    <row r="91" spans="1:12" s="6" customFormat="1" ht="49.5" hidden="1" customHeight="1">
      <c r="A91" s="155"/>
      <c r="B91" s="67" t="s">
        <v>82</v>
      </c>
      <c r="C91" s="96">
        <v>300</v>
      </c>
      <c r="D91" s="53">
        <v>300</v>
      </c>
      <c r="E91" s="66">
        <f t="shared" si="4"/>
        <v>100</v>
      </c>
      <c r="F91" s="79">
        <v>300000</v>
      </c>
      <c r="G91" s="79">
        <v>300000</v>
      </c>
      <c r="H91" s="42">
        <f t="shared" si="5"/>
        <v>0</v>
      </c>
      <c r="I91" s="2"/>
      <c r="J91" s="1"/>
      <c r="K91" s="1"/>
      <c r="L91" s="1"/>
    </row>
    <row r="92" spans="1:12" s="6" customFormat="1" ht="51" hidden="1" customHeight="1">
      <c r="A92" s="155"/>
      <c r="B92" s="67" t="s">
        <v>81</v>
      </c>
      <c r="C92" s="96">
        <f>989.3-92.46</f>
        <v>896.83999999999992</v>
      </c>
      <c r="D92" s="53">
        <v>896.8</v>
      </c>
      <c r="E92" s="66">
        <f t="shared" si="4"/>
        <v>99.99553989563357</v>
      </c>
      <c r="F92" s="79">
        <f>989300-92460</f>
        <v>896840</v>
      </c>
      <c r="G92" s="79">
        <f>989300-92460</f>
        <v>896840</v>
      </c>
      <c r="H92" s="42">
        <f t="shared" si="5"/>
        <v>0</v>
      </c>
      <c r="I92" s="2"/>
      <c r="J92" s="1"/>
      <c r="K92" s="1"/>
      <c r="L92" s="1"/>
    </row>
    <row r="93" spans="1:12" s="6" customFormat="1" ht="51" hidden="1" customHeight="1">
      <c r="A93" s="155"/>
      <c r="B93" s="98" t="s">
        <v>80</v>
      </c>
      <c r="C93" s="96">
        <v>340</v>
      </c>
      <c r="D93" s="59">
        <v>340</v>
      </c>
      <c r="E93" s="66">
        <f t="shared" si="4"/>
        <v>100</v>
      </c>
      <c r="F93" s="79">
        <v>340000</v>
      </c>
      <c r="G93" s="79">
        <v>340000</v>
      </c>
      <c r="H93" s="42">
        <f t="shared" si="5"/>
        <v>0</v>
      </c>
      <c r="I93" s="2"/>
      <c r="J93" s="1"/>
      <c r="K93" s="1"/>
      <c r="L93" s="1"/>
    </row>
    <row r="94" spans="1:12" s="6" customFormat="1" ht="36.75" hidden="1" customHeight="1">
      <c r="A94" s="155"/>
      <c r="B94" s="98" t="s">
        <v>79</v>
      </c>
      <c r="C94" s="97">
        <f>324.7-324.7</f>
        <v>0</v>
      </c>
      <c r="D94" s="59">
        <v>0</v>
      </c>
      <c r="E94" s="66" t="e">
        <f t="shared" si="4"/>
        <v>#DIV/0!</v>
      </c>
      <c r="F94" s="79">
        <f>324680-324680</f>
        <v>0</v>
      </c>
      <c r="G94" s="79">
        <v>0</v>
      </c>
      <c r="H94" s="42">
        <f t="shared" si="5"/>
        <v>0</v>
      </c>
      <c r="I94" s="2"/>
      <c r="J94" s="1"/>
      <c r="K94" s="1"/>
      <c r="L94" s="1"/>
    </row>
    <row r="95" spans="1:12" s="6" customFormat="1" ht="36.75" hidden="1" customHeight="1">
      <c r="A95" s="155"/>
      <c r="B95" s="67" t="s">
        <v>78</v>
      </c>
      <c r="C95" s="96">
        <v>1372.5</v>
      </c>
      <c r="D95" s="91">
        <v>1372.5</v>
      </c>
      <c r="E95" s="66">
        <f t="shared" si="4"/>
        <v>100</v>
      </c>
      <c r="F95" s="90">
        <v>1372500</v>
      </c>
      <c r="G95" s="90">
        <v>1372500</v>
      </c>
      <c r="H95" s="42">
        <f t="shared" si="5"/>
        <v>0</v>
      </c>
      <c r="I95" s="2"/>
      <c r="J95" s="1"/>
      <c r="K95" s="1"/>
      <c r="L95" s="1"/>
    </row>
    <row r="96" spans="1:12" s="6" customFormat="1" ht="36.75" hidden="1" customHeight="1">
      <c r="A96" s="155"/>
      <c r="B96" s="67" t="s">
        <v>77</v>
      </c>
      <c r="C96" s="96">
        <v>0</v>
      </c>
      <c r="D96" s="91">
        <v>0</v>
      </c>
      <c r="E96" s="66" t="e">
        <f t="shared" si="4"/>
        <v>#DIV/0!</v>
      </c>
      <c r="F96" s="90">
        <v>0</v>
      </c>
      <c r="G96" s="90">
        <v>0</v>
      </c>
      <c r="H96" s="42">
        <f t="shared" si="5"/>
        <v>0</v>
      </c>
      <c r="I96" s="2"/>
      <c r="J96" s="1"/>
      <c r="K96" s="1"/>
      <c r="L96" s="1"/>
    </row>
    <row r="97" spans="1:12" s="6" customFormat="1" ht="20.25" hidden="1" customHeight="1">
      <c r="A97" s="156"/>
      <c r="B97" s="95" t="s">
        <v>76</v>
      </c>
      <c r="C97" s="92">
        <v>5474.6</v>
      </c>
      <c r="D97" s="91">
        <v>5435</v>
      </c>
      <c r="E97" s="66">
        <f t="shared" si="4"/>
        <v>99.276659481971279</v>
      </c>
      <c r="F97" s="90">
        <v>5474553.4000000004</v>
      </c>
      <c r="G97" s="90">
        <v>5474553.4000000004</v>
      </c>
      <c r="H97" s="42">
        <f t="shared" si="5"/>
        <v>0</v>
      </c>
      <c r="I97" s="2"/>
      <c r="J97" s="1"/>
      <c r="K97" s="1"/>
      <c r="L97" s="1"/>
    </row>
    <row r="98" spans="1:12" s="6" customFormat="1" ht="56.25" hidden="1" customHeight="1">
      <c r="A98" s="94"/>
      <c r="B98" s="93" t="s">
        <v>75</v>
      </c>
      <c r="C98" s="92">
        <v>767.6</v>
      </c>
      <c r="D98" s="91">
        <v>767.6</v>
      </c>
      <c r="E98" s="66">
        <f t="shared" si="4"/>
        <v>100</v>
      </c>
      <c r="F98" s="90">
        <v>767600</v>
      </c>
      <c r="G98" s="90">
        <v>767600</v>
      </c>
      <c r="H98" s="42">
        <f t="shared" si="5"/>
        <v>0</v>
      </c>
      <c r="I98" s="2"/>
      <c r="J98" s="1"/>
      <c r="K98" s="1"/>
      <c r="L98" s="1"/>
    </row>
    <row r="99" spans="1:12" s="6" customFormat="1" ht="19.5" customHeight="1">
      <c r="A99" s="52" t="s">
        <v>74</v>
      </c>
      <c r="B99" s="51" t="s">
        <v>73</v>
      </c>
      <c r="C99" s="89">
        <f>C101+C117+C118+C119+C120+C122+C123+C125+C100+C124+C121</f>
        <v>160504.68599999999</v>
      </c>
      <c r="D99" s="89">
        <f>D101+D117+D118+D119+D120+D122+D123+D125+D100+D124+D121</f>
        <v>160316.76800000007</v>
      </c>
      <c r="E99" s="44">
        <f t="shared" si="4"/>
        <v>99.88292055223863</v>
      </c>
      <c r="F99" s="80">
        <f>F101+F117+F118+F119+F120+F122+F123+F125+F100+F124+F121</f>
        <v>160504684.85000002</v>
      </c>
      <c r="G99" s="80">
        <f>G101+G117+G118+G119+G120+G122+G123+G125+G100+G124+G121</f>
        <v>160316968.85000002</v>
      </c>
      <c r="H99" s="42">
        <f t="shared" si="5"/>
        <v>-187716</v>
      </c>
      <c r="I99" s="2"/>
      <c r="J99" s="1"/>
      <c r="K99" s="1"/>
      <c r="L99" s="1"/>
    </row>
    <row r="100" spans="1:12" s="6" customFormat="1" ht="34.5" hidden="1" customHeight="1">
      <c r="A100" s="48" t="s">
        <v>72</v>
      </c>
      <c r="B100" s="67" t="s">
        <v>71</v>
      </c>
      <c r="C100" s="59"/>
      <c r="D100" s="59"/>
      <c r="E100" s="66">
        <v>0</v>
      </c>
      <c r="F100" s="79"/>
      <c r="G100" s="79"/>
      <c r="H100" s="42">
        <f t="shared" ref="H100:H131" si="6">G100-F100</f>
        <v>0</v>
      </c>
      <c r="I100" s="2"/>
      <c r="J100" s="1"/>
      <c r="K100" s="1"/>
      <c r="L100" s="1"/>
    </row>
    <row r="101" spans="1:12" ht="36" customHeight="1">
      <c r="A101" s="48" t="s">
        <v>70</v>
      </c>
      <c r="B101" s="47" t="s">
        <v>69</v>
      </c>
      <c r="C101" s="53">
        <f>C102+C103+C104+C105+C106+C108+C109+C107</f>
        <v>152251.48599999998</v>
      </c>
      <c r="D101" s="59">
        <f>D102+D103+D104+D105+D106+D108+D109+D107</f>
        <v>152251.30000000002</v>
      </c>
      <c r="E101" s="66">
        <f t="shared" ref="E101:E132" si="7">D101/C101*100</f>
        <v>99.999877833704716</v>
      </c>
      <c r="F101" s="43">
        <f>F102+F103+F104+F105+F106+F107+F108+F109</f>
        <v>152251457.45000002</v>
      </c>
      <c r="G101" s="43">
        <f>G102+G103+G104+G105+G106+G107+G108+G109</f>
        <v>152251457.45000002</v>
      </c>
      <c r="H101" s="42">
        <f t="shared" si="6"/>
        <v>0</v>
      </c>
    </row>
    <row r="102" spans="1:12" ht="96.75" hidden="1" customHeight="1">
      <c r="A102" s="157"/>
      <c r="B102" s="87" t="s">
        <v>68</v>
      </c>
      <c r="C102" s="86">
        <v>2635.2</v>
      </c>
      <c r="D102" s="59">
        <v>2635.2</v>
      </c>
      <c r="E102" s="66">
        <f t="shared" si="7"/>
        <v>100</v>
      </c>
      <c r="F102" s="79">
        <v>2635200</v>
      </c>
      <c r="G102" s="79">
        <v>2635200</v>
      </c>
      <c r="H102" s="42">
        <f t="shared" si="6"/>
        <v>0</v>
      </c>
    </row>
    <row r="103" spans="1:12" s="6" customFormat="1" ht="51.75" hidden="1" customHeight="1">
      <c r="A103" s="158"/>
      <c r="B103" s="88" t="s">
        <v>67</v>
      </c>
      <c r="C103" s="86">
        <v>4137.1000000000004</v>
      </c>
      <c r="D103" s="53">
        <v>4137.1000000000004</v>
      </c>
      <c r="E103" s="66">
        <f t="shared" si="7"/>
        <v>100</v>
      </c>
      <c r="F103" s="79">
        <v>4137100</v>
      </c>
      <c r="G103" s="79">
        <v>4137100</v>
      </c>
      <c r="H103" s="42">
        <f t="shared" si="6"/>
        <v>0</v>
      </c>
      <c r="I103" s="2"/>
      <c r="J103" s="1"/>
      <c r="K103" s="1"/>
      <c r="L103" s="1"/>
    </row>
    <row r="104" spans="1:12" s="6" customFormat="1" ht="36" hidden="1" customHeight="1">
      <c r="A104" s="158"/>
      <c r="B104" s="87" t="s">
        <v>66</v>
      </c>
      <c r="C104" s="86">
        <v>594.15800000000002</v>
      </c>
      <c r="D104" s="53">
        <v>594.20000000000005</v>
      </c>
      <c r="E104" s="66">
        <f t="shared" si="7"/>
        <v>100.00706882681038</v>
      </c>
      <c r="F104" s="79">
        <v>594158.62</v>
      </c>
      <c r="G104" s="79">
        <v>594158.62</v>
      </c>
      <c r="H104" s="42">
        <f t="shared" si="6"/>
        <v>0</v>
      </c>
      <c r="I104" s="2"/>
      <c r="J104" s="1"/>
      <c r="K104" s="1"/>
      <c r="L104" s="1"/>
    </row>
    <row r="105" spans="1:12" s="6" customFormat="1" ht="34.5" hidden="1" customHeight="1">
      <c r="A105" s="158"/>
      <c r="B105" s="87" t="s">
        <v>65</v>
      </c>
      <c r="C105" s="86">
        <f>308.8-44.1-56.246</f>
        <v>208.45399999999998</v>
      </c>
      <c r="D105" s="53">
        <v>208.5</v>
      </c>
      <c r="E105" s="66">
        <f t="shared" si="7"/>
        <v>100.02206721866696</v>
      </c>
      <c r="F105" s="79">
        <f>308812-44116-56246</f>
        <v>208450</v>
      </c>
      <c r="G105" s="79">
        <f>308812-44116-56246</f>
        <v>208450</v>
      </c>
      <c r="H105" s="42">
        <f t="shared" si="6"/>
        <v>0</v>
      </c>
      <c r="I105" s="2"/>
      <c r="J105" s="1"/>
      <c r="K105" s="1"/>
      <c r="L105" s="1"/>
    </row>
    <row r="106" spans="1:12" s="6" customFormat="1" ht="49.5" hidden="1" customHeight="1">
      <c r="A106" s="158"/>
      <c r="B106" s="87" t="s">
        <v>64</v>
      </c>
      <c r="C106" s="86">
        <v>161.5</v>
      </c>
      <c r="D106" s="59">
        <v>161.19999999999999</v>
      </c>
      <c r="E106" s="66">
        <f t="shared" si="7"/>
        <v>99.814241486068099</v>
      </c>
      <c r="F106" s="79">
        <v>161500</v>
      </c>
      <c r="G106" s="79">
        <v>161500</v>
      </c>
      <c r="H106" s="42">
        <f t="shared" si="6"/>
        <v>0</v>
      </c>
      <c r="I106" s="2"/>
      <c r="J106" s="1"/>
      <c r="K106" s="1"/>
      <c r="L106" s="1"/>
    </row>
    <row r="107" spans="1:12" s="6" customFormat="1" ht="66.75" hidden="1" customHeight="1">
      <c r="A107" s="158"/>
      <c r="B107" s="87" t="s">
        <v>63</v>
      </c>
      <c r="C107" s="86">
        <f>122918.4+11601.8-8</f>
        <v>134512.19999999998</v>
      </c>
      <c r="D107" s="53">
        <v>134512.20000000001</v>
      </c>
      <c r="E107" s="66">
        <f t="shared" si="7"/>
        <v>100.00000000000003</v>
      </c>
      <c r="F107" s="79">
        <f>122918400+11601800-8025.7</f>
        <v>134512174.30000001</v>
      </c>
      <c r="G107" s="79">
        <f>122918400+11601800-8025.7</f>
        <v>134512174.30000001</v>
      </c>
      <c r="H107" s="42">
        <f t="shared" si="6"/>
        <v>0</v>
      </c>
      <c r="I107" s="2"/>
      <c r="J107" s="1"/>
      <c r="K107" s="1"/>
      <c r="L107" s="1"/>
    </row>
    <row r="108" spans="1:12" s="6" customFormat="1" ht="82.5" hidden="1" customHeight="1">
      <c r="A108" s="158"/>
      <c r="B108" s="87" t="s">
        <v>62</v>
      </c>
      <c r="C108" s="86">
        <v>3072.174</v>
      </c>
      <c r="D108" s="53">
        <v>3072.2</v>
      </c>
      <c r="E108" s="66">
        <f t="shared" si="7"/>
        <v>100.00084630623134</v>
      </c>
      <c r="F108" s="85">
        <f>3072200-25.47</f>
        <v>3072174.53</v>
      </c>
      <c r="G108" s="85">
        <v>3072174.53</v>
      </c>
      <c r="H108" s="84">
        <f t="shared" si="6"/>
        <v>0</v>
      </c>
      <c r="I108" s="2"/>
      <c r="J108" s="1"/>
      <c r="K108" s="1"/>
      <c r="L108" s="1"/>
    </row>
    <row r="109" spans="1:12" s="6" customFormat="1" ht="21" hidden="1" customHeight="1">
      <c r="A109" s="158"/>
      <c r="B109" s="83" t="s">
        <v>61</v>
      </c>
      <c r="C109" s="82">
        <f>C110+C111+C112+C113+C114+C115+C116</f>
        <v>6930.7</v>
      </c>
      <c r="D109" s="82">
        <f>D110+D111+D112+D113+D114+D115+D116</f>
        <v>6930.7</v>
      </c>
      <c r="E109" s="81">
        <f t="shared" si="7"/>
        <v>100</v>
      </c>
      <c r="F109" s="80">
        <f>F110+F111+F112+F113+F114+F115+F116</f>
        <v>6930700</v>
      </c>
      <c r="G109" s="80">
        <f>G110+G111+G112+G113+G114+G115+G116</f>
        <v>6930700</v>
      </c>
      <c r="H109" s="42">
        <f t="shared" si="6"/>
        <v>0</v>
      </c>
      <c r="I109" s="2"/>
      <c r="J109" s="1"/>
      <c r="K109" s="1"/>
      <c r="L109" s="1"/>
    </row>
    <row r="110" spans="1:12" s="6" customFormat="1" ht="57.75" hidden="1" customHeight="1">
      <c r="A110" s="158"/>
      <c r="B110" s="77" t="s">
        <v>60</v>
      </c>
      <c r="C110" s="76">
        <f>20</f>
        <v>20</v>
      </c>
      <c r="D110" s="59">
        <v>20</v>
      </c>
      <c r="E110" s="66">
        <f t="shared" si="7"/>
        <v>100</v>
      </c>
      <c r="F110" s="79">
        <f>20000</f>
        <v>20000</v>
      </c>
      <c r="G110" s="79">
        <v>20000</v>
      </c>
      <c r="H110" s="42">
        <f t="shared" si="6"/>
        <v>0</v>
      </c>
      <c r="I110" s="2"/>
      <c r="J110" s="1"/>
      <c r="K110" s="1"/>
      <c r="L110" s="1"/>
    </row>
    <row r="111" spans="1:12" s="6" customFormat="1" ht="114.75" hidden="1" customHeight="1">
      <c r="A111" s="158"/>
      <c r="B111" s="77" t="s">
        <v>59</v>
      </c>
      <c r="C111" s="76">
        <v>1778.9</v>
      </c>
      <c r="D111" s="59">
        <v>1778.9</v>
      </c>
      <c r="E111" s="66">
        <f t="shared" si="7"/>
        <v>100</v>
      </c>
      <c r="F111" s="79">
        <v>1778900</v>
      </c>
      <c r="G111" s="79">
        <v>1778900</v>
      </c>
      <c r="H111" s="42">
        <f t="shared" si="6"/>
        <v>0</v>
      </c>
      <c r="I111" s="2"/>
      <c r="J111" s="1"/>
      <c r="K111" s="1"/>
      <c r="L111" s="1"/>
    </row>
    <row r="112" spans="1:12" s="6" customFormat="1" ht="96" hidden="1" customHeight="1">
      <c r="A112" s="158"/>
      <c r="B112" s="77" t="s">
        <v>58</v>
      </c>
      <c r="C112" s="76">
        <f>3036-120-376</f>
        <v>2540</v>
      </c>
      <c r="D112" s="59">
        <v>2540</v>
      </c>
      <c r="E112" s="66">
        <f t="shared" si="7"/>
        <v>100</v>
      </c>
      <c r="F112" s="43">
        <f>3036000-120000-376000</f>
        <v>2540000</v>
      </c>
      <c r="G112" s="43">
        <f>3036000-120000-376000</f>
        <v>2540000</v>
      </c>
      <c r="H112" s="42">
        <f t="shared" si="6"/>
        <v>0</v>
      </c>
      <c r="I112" s="2"/>
      <c r="J112" s="1"/>
      <c r="K112" s="1"/>
      <c r="L112" s="1"/>
    </row>
    <row r="113" spans="1:12" s="6" customFormat="1" ht="22.5" hidden="1" customHeight="1">
      <c r="A113" s="158"/>
      <c r="B113" s="77" t="s">
        <v>57</v>
      </c>
      <c r="C113" s="76">
        <v>4.8</v>
      </c>
      <c r="D113" s="53">
        <v>4.8</v>
      </c>
      <c r="E113" s="66">
        <f t="shared" si="7"/>
        <v>100</v>
      </c>
      <c r="F113" s="43">
        <v>4800</v>
      </c>
      <c r="G113" s="43">
        <v>4800</v>
      </c>
      <c r="H113" s="42">
        <f t="shared" si="6"/>
        <v>0</v>
      </c>
      <c r="I113" s="2"/>
      <c r="J113" s="1"/>
      <c r="K113" s="1"/>
      <c r="L113" s="1"/>
    </row>
    <row r="114" spans="1:12" s="6" customFormat="1" ht="66.75" hidden="1" customHeight="1">
      <c r="A114" s="158"/>
      <c r="B114" s="78" t="s">
        <v>56</v>
      </c>
      <c r="C114" s="76">
        <v>0</v>
      </c>
      <c r="D114" s="53">
        <v>0</v>
      </c>
      <c r="E114" s="66" t="e">
        <f t="shared" si="7"/>
        <v>#DIV/0!</v>
      </c>
      <c r="F114" s="43">
        <v>0</v>
      </c>
      <c r="G114" s="43">
        <v>0</v>
      </c>
      <c r="H114" s="42">
        <f t="shared" si="6"/>
        <v>0</v>
      </c>
      <c r="I114" s="2"/>
      <c r="J114" s="1"/>
      <c r="K114" s="1"/>
      <c r="L114" s="1"/>
    </row>
    <row r="115" spans="1:12" s="6" customFormat="1" ht="53.25" hidden="1" customHeight="1">
      <c r="A115" s="158"/>
      <c r="B115" s="78" t="s">
        <v>55</v>
      </c>
      <c r="C115" s="76">
        <f>1739.6-767.6</f>
        <v>971.99999999999989</v>
      </c>
      <c r="D115" s="53">
        <v>972</v>
      </c>
      <c r="E115" s="66">
        <f t="shared" si="7"/>
        <v>100.00000000000003</v>
      </c>
      <c r="F115" s="43">
        <f>1739600-767600</f>
        <v>972000</v>
      </c>
      <c r="G115" s="43">
        <f>1739600-767600</f>
        <v>972000</v>
      </c>
      <c r="H115" s="42">
        <f t="shared" si="6"/>
        <v>0</v>
      </c>
      <c r="I115" s="2"/>
      <c r="J115" s="1"/>
      <c r="K115" s="1"/>
      <c r="L115" s="1"/>
    </row>
    <row r="116" spans="1:12" s="6" customFormat="1" ht="64.5" hidden="1" customHeight="1">
      <c r="A116" s="159"/>
      <c r="B116" s="77" t="s">
        <v>54</v>
      </c>
      <c r="C116" s="76">
        <f>2668.1-368.1-685</f>
        <v>1615</v>
      </c>
      <c r="D116" s="53">
        <v>1615</v>
      </c>
      <c r="E116" s="66">
        <f t="shared" si="7"/>
        <v>100</v>
      </c>
      <c r="F116" s="43">
        <f>2668100-368100-685000</f>
        <v>1615000</v>
      </c>
      <c r="G116" s="43">
        <f>2668100-368100-685000</f>
        <v>1615000</v>
      </c>
      <c r="H116" s="42">
        <f t="shared" si="6"/>
        <v>0</v>
      </c>
      <c r="I116" s="2"/>
      <c r="J116" s="1"/>
      <c r="K116" s="1"/>
      <c r="L116" s="1"/>
    </row>
    <row r="117" spans="1:12" s="6" customFormat="1" ht="50.25" customHeight="1">
      <c r="A117" s="48" t="s">
        <v>53</v>
      </c>
      <c r="B117" s="47" t="s">
        <v>52</v>
      </c>
      <c r="C117" s="53">
        <v>16.899999999999999</v>
      </c>
      <c r="D117" s="53">
        <v>16.899999999999999</v>
      </c>
      <c r="E117" s="66">
        <f t="shared" si="7"/>
        <v>100</v>
      </c>
      <c r="F117" s="43">
        <v>16900</v>
      </c>
      <c r="G117" s="43">
        <v>16900</v>
      </c>
      <c r="H117" s="42">
        <f t="shared" si="6"/>
        <v>0</v>
      </c>
      <c r="I117" s="2"/>
      <c r="J117" s="1"/>
      <c r="K117" s="1"/>
      <c r="L117" s="1"/>
    </row>
    <row r="118" spans="1:12" s="6" customFormat="1" ht="50.25" customHeight="1">
      <c r="A118" s="75" t="s">
        <v>42</v>
      </c>
      <c r="B118" s="74" t="s">
        <v>51</v>
      </c>
      <c r="C118" s="53">
        <v>1200</v>
      </c>
      <c r="D118" s="53">
        <v>1012.284</v>
      </c>
      <c r="E118" s="66">
        <f t="shared" si="7"/>
        <v>84.356999999999999</v>
      </c>
      <c r="F118" s="73">
        <v>1200000</v>
      </c>
      <c r="G118" s="73">
        <f>1200000-187716</f>
        <v>1012284</v>
      </c>
      <c r="H118" s="72">
        <f t="shared" si="6"/>
        <v>-187716</v>
      </c>
      <c r="I118" s="2"/>
      <c r="J118" s="1"/>
      <c r="K118" s="1"/>
      <c r="L118" s="1"/>
    </row>
    <row r="119" spans="1:12" s="6" customFormat="1" ht="66" customHeight="1">
      <c r="A119" s="71" t="s">
        <v>50</v>
      </c>
      <c r="B119" s="70" t="s">
        <v>49</v>
      </c>
      <c r="C119" s="53">
        <f>1040-27.7</f>
        <v>1012.3</v>
      </c>
      <c r="D119" s="53">
        <v>1012.284</v>
      </c>
      <c r="E119" s="66">
        <f t="shared" si="7"/>
        <v>99.998419440877214</v>
      </c>
      <c r="F119" s="43">
        <f>1040000-27716</f>
        <v>1012284</v>
      </c>
      <c r="G119" s="43">
        <f>1040000-27716</f>
        <v>1012284</v>
      </c>
      <c r="H119" s="42">
        <f t="shared" si="6"/>
        <v>0</v>
      </c>
      <c r="I119" s="2"/>
      <c r="J119" s="1"/>
      <c r="K119" s="1"/>
      <c r="L119" s="1"/>
    </row>
    <row r="120" spans="1:12" s="6" customFormat="1" ht="66" customHeight="1">
      <c r="A120" s="71" t="s">
        <v>48</v>
      </c>
      <c r="B120" s="70" t="s">
        <v>47</v>
      </c>
      <c r="C120" s="53">
        <v>200.6</v>
      </c>
      <c r="D120" s="53">
        <v>200.6</v>
      </c>
      <c r="E120" s="66">
        <f t="shared" si="7"/>
        <v>100</v>
      </c>
      <c r="F120" s="43">
        <v>200643.4</v>
      </c>
      <c r="G120" s="43">
        <v>200643.4</v>
      </c>
      <c r="H120" s="42">
        <f t="shared" si="6"/>
        <v>0</v>
      </c>
      <c r="I120" s="2"/>
      <c r="J120" s="1"/>
      <c r="K120" s="1"/>
      <c r="L120" s="1"/>
    </row>
    <row r="121" spans="1:12" s="6" customFormat="1" ht="49.5" customHeight="1">
      <c r="A121" s="48" t="s">
        <v>46</v>
      </c>
      <c r="B121" s="67" t="s">
        <v>45</v>
      </c>
      <c r="C121" s="53">
        <f>6827.7-2469</f>
        <v>4358.7</v>
      </c>
      <c r="D121" s="53">
        <v>4358.7</v>
      </c>
      <c r="E121" s="66">
        <f t="shared" si="7"/>
        <v>100</v>
      </c>
      <c r="F121" s="43">
        <f>6827700-2469000</f>
        <v>4358700</v>
      </c>
      <c r="G121" s="43">
        <f>6827700-2469000</f>
        <v>4358700</v>
      </c>
      <c r="H121" s="42">
        <f t="shared" si="6"/>
        <v>0</v>
      </c>
      <c r="I121" s="2"/>
      <c r="J121" s="1"/>
      <c r="K121" s="1"/>
      <c r="L121" s="1"/>
    </row>
    <row r="122" spans="1:12" s="6" customFormat="1" ht="53.25" hidden="1" customHeight="1">
      <c r="A122" s="69" t="s">
        <v>44</v>
      </c>
      <c r="B122" s="68" t="s">
        <v>43</v>
      </c>
      <c r="C122" s="53">
        <v>0</v>
      </c>
      <c r="D122" s="53">
        <v>0</v>
      </c>
      <c r="E122" s="66" t="e">
        <f t="shared" si="7"/>
        <v>#DIV/0!</v>
      </c>
      <c r="F122" s="43">
        <v>0</v>
      </c>
      <c r="G122" s="43">
        <v>0</v>
      </c>
      <c r="H122" s="42">
        <f t="shared" si="6"/>
        <v>0</v>
      </c>
      <c r="I122" s="2"/>
      <c r="J122" s="1"/>
      <c r="K122" s="1"/>
      <c r="L122" s="1"/>
    </row>
    <row r="123" spans="1:12" s="6" customFormat="1" ht="42.75" hidden="1" customHeight="1">
      <c r="A123" s="48" t="s">
        <v>42</v>
      </c>
      <c r="B123" s="47" t="s">
        <v>41</v>
      </c>
      <c r="C123" s="53">
        <v>0</v>
      </c>
      <c r="D123" s="53">
        <v>0</v>
      </c>
      <c r="E123" s="66" t="e">
        <f t="shared" si="7"/>
        <v>#DIV/0!</v>
      </c>
      <c r="F123" s="43">
        <v>0</v>
      </c>
      <c r="G123" s="43">
        <v>0</v>
      </c>
      <c r="H123" s="42">
        <f t="shared" si="6"/>
        <v>0</v>
      </c>
      <c r="I123" s="2"/>
      <c r="J123" s="1"/>
      <c r="K123" s="1"/>
      <c r="L123" s="1"/>
    </row>
    <row r="124" spans="1:12" s="6" customFormat="1" ht="3" hidden="1" customHeight="1">
      <c r="A124" s="48" t="s">
        <v>40</v>
      </c>
      <c r="B124" s="67" t="s">
        <v>39</v>
      </c>
      <c r="C124" s="53">
        <v>0</v>
      </c>
      <c r="D124" s="53">
        <v>0</v>
      </c>
      <c r="E124" s="66" t="e">
        <f t="shared" si="7"/>
        <v>#DIV/0!</v>
      </c>
      <c r="F124" s="43">
        <v>0</v>
      </c>
      <c r="G124" s="43">
        <v>0</v>
      </c>
      <c r="H124" s="42">
        <f t="shared" si="6"/>
        <v>0</v>
      </c>
      <c r="I124" s="2"/>
      <c r="J124" s="1"/>
      <c r="K124" s="1"/>
      <c r="L124" s="1"/>
    </row>
    <row r="125" spans="1:12" s="6" customFormat="1" ht="21" customHeight="1">
      <c r="A125" s="48" t="s">
        <v>38</v>
      </c>
      <c r="B125" s="47" t="s">
        <v>37</v>
      </c>
      <c r="C125" s="53">
        <f>1486.7-22</f>
        <v>1464.7</v>
      </c>
      <c r="D125" s="53">
        <v>1464.7</v>
      </c>
      <c r="E125" s="66">
        <f t="shared" si="7"/>
        <v>100</v>
      </c>
      <c r="F125" s="43">
        <f>1486700-22000</f>
        <v>1464700</v>
      </c>
      <c r="G125" s="43">
        <f>1486700-22000</f>
        <v>1464700</v>
      </c>
      <c r="H125" s="42">
        <f t="shared" si="6"/>
        <v>0</v>
      </c>
      <c r="I125" s="2"/>
      <c r="J125" s="1"/>
      <c r="K125" s="1"/>
      <c r="L125" s="1"/>
    </row>
    <row r="126" spans="1:12" s="6" customFormat="1" ht="23.25" customHeight="1">
      <c r="A126" s="52" t="s">
        <v>36</v>
      </c>
      <c r="B126" s="51" t="s">
        <v>35</v>
      </c>
      <c r="C126" s="46">
        <f>C127+C139</f>
        <v>4569.8999999999996</v>
      </c>
      <c r="D126" s="46">
        <f>D127+D139</f>
        <v>4569.8999999999996</v>
      </c>
      <c r="E126" s="44">
        <f t="shared" si="7"/>
        <v>100</v>
      </c>
      <c r="F126" s="49">
        <f>F127+F139</f>
        <v>4569878.7</v>
      </c>
      <c r="G126" s="49">
        <f>G127+G139</f>
        <v>4569878.7</v>
      </c>
      <c r="H126" s="42">
        <f t="shared" si="6"/>
        <v>0</v>
      </c>
      <c r="I126" s="2"/>
      <c r="J126" s="1"/>
      <c r="K126" s="1"/>
      <c r="L126" s="1"/>
    </row>
    <row r="127" spans="1:12" s="6" customFormat="1" ht="48.75" customHeight="1">
      <c r="A127" s="52" t="s">
        <v>34</v>
      </c>
      <c r="B127" s="51" t="s">
        <v>33</v>
      </c>
      <c r="C127" s="46">
        <f>C128</f>
        <v>3628.5</v>
      </c>
      <c r="D127" s="46">
        <f>D128</f>
        <v>3628.5</v>
      </c>
      <c r="E127" s="44">
        <f t="shared" si="7"/>
        <v>100</v>
      </c>
      <c r="F127" s="49">
        <f>F128</f>
        <v>3628448.7</v>
      </c>
      <c r="G127" s="49">
        <f>G128</f>
        <v>3628448.7</v>
      </c>
      <c r="H127" s="42">
        <f t="shared" si="6"/>
        <v>0</v>
      </c>
      <c r="I127" s="2"/>
      <c r="J127" s="1"/>
      <c r="K127" s="1"/>
      <c r="L127" s="1"/>
    </row>
    <row r="128" spans="1:12" s="6" customFormat="1" ht="51" customHeight="1">
      <c r="A128" s="48" t="s">
        <v>32</v>
      </c>
      <c r="B128" s="47" t="s">
        <v>31</v>
      </c>
      <c r="C128" s="65">
        <f>C129+C130+C131+C132+C133+C134+C135+C136+C137+C138</f>
        <v>3628.5</v>
      </c>
      <c r="D128" s="65">
        <f>D129+D130+D131+D132+D133+D134+D135+D136+D137+D138</f>
        <v>3628.5</v>
      </c>
      <c r="E128" s="58">
        <f t="shared" si="7"/>
        <v>100</v>
      </c>
      <c r="F128" s="43">
        <f>F129+F130+F131+F132+F133+F134+F135+F136+F137+F138</f>
        <v>3628448.7</v>
      </c>
      <c r="G128" s="43">
        <f>G129+G130+G131+G132+G133+G134+G135+G136+G137+G138</f>
        <v>3628448.7</v>
      </c>
      <c r="H128" s="42">
        <f t="shared" si="6"/>
        <v>0</v>
      </c>
      <c r="I128" s="2"/>
      <c r="J128" s="1"/>
      <c r="K128" s="1"/>
      <c r="L128" s="1"/>
    </row>
    <row r="129" spans="1:12" s="6" customFormat="1" ht="37.5" hidden="1" customHeight="1">
      <c r="A129" s="157"/>
      <c r="B129" s="64" t="s">
        <v>30</v>
      </c>
      <c r="C129" s="63">
        <v>258.10000000000002</v>
      </c>
      <c r="D129" s="62">
        <v>258.10000000000002</v>
      </c>
      <c r="E129" s="61">
        <f t="shared" si="7"/>
        <v>100</v>
      </c>
      <c r="F129" s="43">
        <v>258080</v>
      </c>
      <c r="G129" s="43">
        <v>258080</v>
      </c>
      <c r="H129" s="42">
        <f t="shared" si="6"/>
        <v>0</v>
      </c>
      <c r="I129" s="2"/>
      <c r="J129" s="1"/>
      <c r="K129" s="1"/>
      <c r="L129" s="1"/>
    </row>
    <row r="130" spans="1:12" s="6" customFormat="1" ht="34.5" hidden="1" customHeight="1">
      <c r="A130" s="158"/>
      <c r="B130" s="64" t="s">
        <v>29</v>
      </c>
      <c r="C130" s="63">
        <v>171.4</v>
      </c>
      <c r="D130" s="62">
        <v>171.4</v>
      </c>
      <c r="E130" s="61">
        <f t="shared" si="7"/>
        <v>100</v>
      </c>
      <c r="F130" s="43">
        <v>171400</v>
      </c>
      <c r="G130" s="43">
        <v>171400</v>
      </c>
      <c r="H130" s="42">
        <f t="shared" si="6"/>
        <v>0</v>
      </c>
      <c r="I130" s="2"/>
      <c r="J130" s="1"/>
      <c r="K130" s="1"/>
      <c r="L130" s="1"/>
    </row>
    <row r="131" spans="1:12" s="6" customFormat="1" ht="22.5" hidden="1" customHeight="1">
      <c r="A131" s="158"/>
      <c r="B131" s="64" t="s">
        <v>28</v>
      </c>
      <c r="C131" s="63">
        <v>233.4</v>
      </c>
      <c r="D131" s="62">
        <v>233.4</v>
      </c>
      <c r="E131" s="61">
        <f t="shared" si="7"/>
        <v>100</v>
      </c>
      <c r="F131" s="43">
        <v>233389</v>
      </c>
      <c r="G131" s="43">
        <v>233389</v>
      </c>
      <c r="H131" s="42">
        <f t="shared" si="6"/>
        <v>0</v>
      </c>
      <c r="I131" s="2"/>
      <c r="J131" s="1"/>
      <c r="K131" s="1"/>
      <c r="L131" s="1"/>
    </row>
    <row r="132" spans="1:12" s="6" customFormat="1" ht="35.25" hidden="1" customHeight="1">
      <c r="A132" s="158"/>
      <c r="B132" s="64" t="s">
        <v>27</v>
      </c>
      <c r="C132" s="63">
        <v>212.8</v>
      </c>
      <c r="D132" s="62">
        <v>212.8</v>
      </c>
      <c r="E132" s="61">
        <f t="shared" si="7"/>
        <v>100</v>
      </c>
      <c r="F132" s="43">
        <v>212850</v>
      </c>
      <c r="G132" s="43">
        <v>212850</v>
      </c>
      <c r="H132" s="42">
        <f t="shared" ref="H132:H149" si="8">G132-F132</f>
        <v>0</v>
      </c>
      <c r="I132" s="2"/>
      <c r="J132" s="1"/>
      <c r="K132" s="1"/>
      <c r="L132" s="1"/>
    </row>
    <row r="133" spans="1:12" s="6" customFormat="1" ht="62.25" hidden="1" customHeight="1">
      <c r="A133" s="158"/>
      <c r="B133" s="64" t="s">
        <v>26</v>
      </c>
      <c r="C133" s="63">
        <v>318.39999999999998</v>
      </c>
      <c r="D133" s="62">
        <v>318.39999999999998</v>
      </c>
      <c r="E133" s="61">
        <f t="shared" ref="E133:E149" si="9">D133/C133*100</f>
        <v>100</v>
      </c>
      <c r="F133" s="43">
        <v>318375</v>
      </c>
      <c r="G133" s="43">
        <v>318375</v>
      </c>
      <c r="H133" s="42">
        <f t="shared" si="8"/>
        <v>0</v>
      </c>
      <c r="I133" s="2"/>
      <c r="J133" s="1"/>
      <c r="K133" s="1"/>
      <c r="L133" s="1"/>
    </row>
    <row r="134" spans="1:12" s="6" customFormat="1" ht="36" hidden="1" customHeight="1">
      <c r="A134" s="158"/>
      <c r="B134" s="64" t="s">
        <v>25</v>
      </c>
      <c r="C134" s="63">
        <v>210.8</v>
      </c>
      <c r="D134" s="62">
        <v>210.8</v>
      </c>
      <c r="E134" s="61">
        <f t="shared" si="9"/>
        <v>100</v>
      </c>
      <c r="F134" s="43">
        <v>210760</v>
      </c>
      <c r="G134" s="43">
        <v>210760</v>
      </c>
      <c r="H134" s="42">
        <f t="shared" si="8"/>
        <v>0</v>
      </c>
      <c r="I134" s="2"/>
      <c r="J134" s="1"/>
      <c r="K134" s="1"/>
      <c r="L134" s="1"/>
    </row>
    <row r="135" spans="1:12" s="6" customFormat="1" ht="36" hidden="1" customHeight="1">
      <c r="A135" s="158"/>
      <c r="B135" s="64" t="s">
        <v>24</v>
      </c>
      <c r="C135" s="63">
        <v>1.6</v>
      </c>
      <c r="D135" s="62">
        <v>1.6</v>
      </c>
      <c r="E135" s="61">
        <f t="shared" si="9"/>
        <v>100</v>
      </c>
      <c r="F135" s="43">
        <v>1600</v>
      </c>
      <c r="G135" s="43">
        <v>1600</v>
      </c>
      <c r="H135" s="42">
        <f t="shared" si="8"/>
        <v>0</v>
      </c>
      <c r="I135" s="2"/>
      <c r="J135" s="1"/>
      <c r="K135" s="1"/>
      <c r="L135" s="1"/>
    </row>
    <row r="136" spans="1:12" s="6" customFormat="1" ht="33" hidden="1" customHeight="1">
      <c r="A136" s="158"/>
      <c r="B136" s="64" t="s">
        <v>23</v>
      </c>
      <c r="C136" s="63">
        <f>136.9+0.1</f>
        <v>137</v>
      </c>
      <c r="D136" s="62">
        <v>137</v>
      </c>
      <c r="E136" s="61">
        <f t="shared" si="9"/>
        <v>100</v>
      </c>
      <c r="F136" s="43">
        <v>136976.70000000001</v>
      </c>
      <c r="G136" s="43">
        <v>136976.70000000001</v>
      </c>
      <c r="H136" s="42">
        <f t="shared" si="8"/>
        <v>0</v>
      </c>
      <c r="I136" s="2"/>
      <c r="J136" s="1"/>
      <c r="K136" s="1"/>
      <c r="L136" s="1"/>
    </row>
    <row r="137" spans="1:12" s="6" customFormat="1" ht="22.5" hidden="1" customHeight="1">
      <c r="A137" s="158"/>
      <c r="B137" s="64" t="s">
        <v>22</v>
      </c>
      <c r="C137" s="63">
        <v>2083</v>
      </c>
      <c r="D137" s="62">
        <v>2083</v>
      </c>
      <c r="E137" s="61">
        <f t="shared" si="9"/>
        <v>100</v>
      </c>
      <c r="F137" s="43">
        <v>2083018</v>
      </c>
      <c r="G137" s="43">
        <v>2083018</v>
      </c>
      <c r="H137" s="42">
        <f t="shared" si="8"/>
        <v>0</v>
      </c>
      <c r="I137" s="2"/>
      <c r="J137" s="1"/>
      <c r="K137" s="1"/>
      <c r="L137" s="1"/>
    </row>
    <row r="138" spans="1:12" s="6" customFormat="1" ht="32.25" hidden="1" customHeight="1">
      <c r="A138" s="159"/>
      <c r="B138" s="64" t="s">
        <v>21</v>
      </c>
      <c r="C138" s="63">
        <v>2</v>
      </c>
      <c r="D138" s="62">
        <v>2</v>
      </c>
      <c r="E138" s="61">
        <f t="shared" si="9"/>
        <v>100</v>
      </c>
      <c r="F138" s="43">
        <v>2000</v>
      </c>
      <c r="G138" s="43">
        <v>2000</v>
      </c>
      <c r="H138" s="42">
        <f t="shared" si="8"/>
        <v>0</v>
      </c>
      <c r="I138" s="2"/>
      <c r="J138" s="1"/>
      <c r="K138" s="1"/>
      <c r="L138" s="1"/>
    </row>
    <row r="139" spans="1:12" s="6" customFormat="1" ht="20.25" customHeight="1">
      <c r="A139" s="52" t="s">
        <v>20</v>
      </c>
      <c r="B139" s="55" t="s">
        <v>19</v>
      </c>
      <c r="C139" s="46">
        <f>C140</f>
        <v>941.4</v>
      </c>
      <c r="D139" s="46">
        <f>D140</f>
        <v>941.4</v>
      </c>
      <c r="E139" s="58">
        <f t="shared" si="9"/>
        <v>100</v>
      </c>
      <c r="F139" s="49">
        <f>F140</f>
        <v>941430</v>
      </c>
      <c r="G139" s="49">
        <f>G140</f>
        <v>941430</v>
      </c>
      <c r="H139" s="42">
        <f t="shared" si="8"/>
        <v>0</v>
      </c>
      <c r="I139" s="2"/>
      <c r="J139" s="1"/>
      <c r="K139" s="1"/>
      <c r="L139" s="1"/>
    </row>
    <row r="140" spans="1:12" s="6" customFormat="1" ht="32.25" customHeight="1">
      <c r="A140" s="60" t="s">
        <v>18</v>
      </c>
      <c r="B140" s="57" t="s">
        <v>17</v>
      </c>
      <c r="C140" s="53">
        <f>C141+C142</f>
        <v>941.4</v>
      </c>
      <c r="D140" s="53">
        <f>D141+D142</f>
        <v>941.4</v>
      </c>
      <c r="E140" s="58">
        <f t="shared" si="9"/>
        <v>100</v>
      </c>
      <c r="F140" s="43">
        <f>F141+F142</f>
        <v>941430</v>
      </c>
      <c r="G140" s="43">
        <f>G141+G142</f>
        <v>941430</v>
      </c>
      <c r="H140" s="42">
        <f t="shared" si="8"/>
        <v>0</v>
      </c>
      <c r="I140" s="2"/>
      <c r="J140" s="1"/>
      <c r="K140" s="1"/>
      <c r="L140" s="1"/>
    </row>
    <row r="141" spans="1:12" s="6" customFormat="1" ht="34.5" hidden="1" customHeight="1">
      <c r="A141" s="157"/>
      <c r="B141" s="57" t="s">
        <v>16</v>
      </c>
      <c r="C141" s="53">
        <v>0</v>
      </c>
      <c r="D141" s="59">
        <v>0</v>
      </c>
      <c r="E141" s="58" t="e">
        <f t="shared" si="9"/>
        <v>#DIV/0!</v>
      </c>
      <c r="F141" s="43">
        <v>0</v>
      </c>
      <c r="G141" s="43">
        <v>0</v>
      </c>
      <c r="H141" s="42">
        <f t="shared" si="8"/>
        <v>0</v>
      </c>
      <c r="I141" s="2"/>
      <c r="J141" s="1"/>
      <c r="K141" s="1"/>
      <c r="L141" s="1"/>
    </row>
    <row r="142" spans="1:12" s="6" customFormat="1" ht="112.5" hidden="1" customHeight="1">
      <c r="A142" s="159"/>
      <c r="B142" s="57" t="s">
        <v>15</v>
      </c>
      <c r="C142" s="53">
        <v>941.4</v>
      </c>
      <c r="D142" s="59">
        <v>941.4</v>
      </c>
      <c r="E142" s="58">
        <f t="shared" si="9"/>
        <v>100</v>
      </c>
      <c r="F142" s="43">
        <v>941430</v>
      </c>
      <c r="G142" s="43">
        <v>941430</v>
      </c>
      <c r="H142" s="42">
        <f t="shared" si="8"/>
        <v>0</v>
      </c>
      <c r="I142" s="2"/>
      <c r="J142" s="1"/>
      <c r="K142" s="1"/>
      <c r="L142" s="1"/>
    </row>
    <row r="143" spans="1:12" s="6" customFormat="1" ht="21" customHeight="1">
      <c r="A143" s="52" t="s">
        <v>14</v>
      </c>
      <c r="B143" s="55" t="s">
        <v>13</v>
      </c>
      <c r="C143" s="46">
        <f>C144</f>
        <v>459.1</v>
      </c>
      <c r="D143" s="46">
        <f>D144</f>
        <v>457.7</v>
      </c>
      <c r="E143" s="44">
        <f t="shared" si="9"/>
        <v>99.695055543454586</v>
      </c>
      <c r="F143" s="49">
        <f>F144</f>
        <v>459132.7</v>
      </c>
      <c r="G143" s="49">
        <f>G144</f>
        <v>459132.7</v>
      </c>
      <c r="H143" s="42">
        <f t="shared" si="8"/>
        <v>0</v>
      </c>
      <c r="I143" s="2"/>
      <c r="J143" s="1"/>
      <c r="K143" s="1"/>
      <c r="L143" s="1"/>
    </row>
    <row r="144" spans="1:12" s="6" customFormat="1" ht="35.25" customHeight="1">
      <c r="A144" s="48" t="s">
        <v>12</v>
      </c>
      <c r="B144" s="57" t="s">
        <v>11</v>
      </c>
      <c r="C144" s="53">
        <v>459.1</v>
      </c>
      <c r="D144" s="45">
        <v>457.7</v>
      </c>
      <c r="E144" s="56">
        <f t="shared" si="9"/>
        <v>99.695055543454586</v>
      </c>
      <c r="F144" s="43">
        <v>459132.7</v>
      </c>
      <c r="G144" s="43">
        <v>459132.7</v>
      </c>
      <c r="H144" s="42">
        <f t="shared" si="8"/>
        <v>0</v>
      </c>
      <c r="I144" s="2"/>
      <c r="J144" s="1"/>
      <c r="K144" s="1"/>
      <c r="L144" s="1"/>
    </row>
    <row r="145" spans="1:12" s="6" customFormat="1" ht="51" hidden="1" customHeight="1">
      <c r="A145" s="52" t="s">
        <v>10</v>
      </c>
      <c r="B145" s="55" t="s">
        <v>9</v>
      </c>
      <c r="C145" s="46">
        <f>C146</f>
        <v>0</v>
      </c>
      <c r="D145" s="46">
        <f>D146</f>
        <v>0</v>
      </c>
      <c r="E145" s="44" t="e">
        <f t="shared" si="9"/>
        <v>#DIV/0!</v>
      </c>
      <c r="F145" s="49">
        <f>F146</f>
        <v>0</v>
      </c>
      <c r="G145" s="49">
        <f>G146</f>
        <v>1</v>
      </c>
      <c r="H145" s="42">
        <f t="shared" si="8"/>
        <v>1</v>
      </c>
      <c r="I145" s="2"/>
      <c r="J145" s="1"/>
      <c r="K145" s="1"/>
      <c r="L145" s="1"/>
    </row>
    <row r="146" spans="1:12" s="6" customFormat="1" ht="35.25" hidden="1" customHeight="1">
      <c r="A146" s="48" t="s">
        <v>8</v>
      </c>
      <c r="B146" s="54" t="s">
        <v>7</v>
      </c>
      <c r="C146" s="53">
        <v>0</v>
      </c>
      <c r="D146" s="53">
        <v>0</v>
      </c>
      <c r="E146" s="44" t="e">
        <f t="shared" si="9"/>
        <v>#DIV/0!</v>
      </c>
      <c r="F146" s="43">
        <v>0</v>
      </c>
      <c r="G146" s="43">
        <v>1</v>
      </c>
      <c r="H146" s="42">
        <f t="shared" si="8"/>
        <v>1</v>
      </c>
      <c r="I146" s="2"/>
      <c r="J146" s="1"/>
      <c r="K146" s="1"/>
      <c r="L146" s="1"/>
    </row>
    <row r="147" spans="1:12" s="6" customFormat="1" ht="35.25" customHeight="1">
      <c r="A147" s="52" t="s">
        <v>6</v>
      </c>
      <c r="B147" s="51" t="s">
        <v>5</v>
      </c>
      <c r="C147" s="46">
        <f>C148</f>
        <v>0</v>
      </c>
      <c r="D147" s="50">
        <f>D148</f>
        <v>-1518.4</v>
      </c>
      <c r="E147" s="44" t="e">
        <f t="shared" si="9"/>
        <v>#DIV/0!</v>
      </c>
      <c r="F147" s="49">
        <f>F148</f>
        <v>0</v>
      </c>
      <c r="G147" s="49">
        <f>G148</f>
        <v>0</v>
      </c>
      <c r="H147" s="42">
        <f t="shared" si="8"/>
        <v>0</v>
      </c>
      <c r="I147" s="2"/>
      <c r="J147" s="1"/>
      <c r="K147" s="1"/>
      <c r="L147" s="1"/>
    </row>
    <row r="148" spans="1:12" s="6" customFormat="1" ht="38.25" customHeight="1">
      <c r="A148" s="48" t="s">
        <v>4</v>
      </c>
      <c r="B148" s="47" t="s">
        <v>3</v>
      </c>
      <c r="C148" s="46">
        <v>0</v>
      </c>
      <c r="D148" s="45">
        <v>-1518.4</v>
      </c>
      <c r="E148" s="44" t="e">
        <f t="shared" si="9"/>
        <v>#DIV/0!</v>
      </c>
      <c r="F148" s="43">
        <v>0</v>
      </c>
      <c r="G148" s="43">
        <v>0</v>
      </c>
      <c r="H148" s="42">
        <f t="shared" si="8"/>
        <v>0</v>
      </c>
      <c r="I148" s="2"/>
      <c r="J148" s="1"/>
      <c r="K148" s="1"/>
      <c r="L148" s="1"/>
    </row>
    <row r="149" spans="1:12" s="6" customFormat="1" ht="24" customHeight="1" thickBot="1">
      <c r="A149" s="149" t="s">
        <v>2</v>
      </c>
      <c r="B149" s="150"/>
      <c r="C149" s="41">
        <f>C4+C64</f>
        <v>590729.42599999998</v>
      </c>
      <c r="D149" s="40">
        <f>D4+D64</f>
        <v>596187.06800000009</v>
      </c>
      <c r="E149" s="39">
        <f t="shared" si="9"/>
        <v>100.92388185856178</v>
      </c>
      <c r="F149" s="38">
        <f>F4+F64</f>
        <v>590729425.57999992</v>
      </c>
      <c r="G149" s="38">
        <f>G4+G64</f>
        <v>590541709.57999992</v>
      </c>
      <c r="H149" s="37">
        <f t="shared" si="8"/>
        <v>-187716</v>
      </c>
      <c r="I149" s="36"/>
      <c r="J149" s="1"/>
      <c r="K149" s="1"/>
      <c r="L149" s="1"/>
    </row>
    <row r="150" spans="1:12" s="6" customFormat="1" ht="36" customHeight="1" thickTop="1">
      <c r="A150" s="9"/>
      <c r="B150" s="8"/>
      <c r="C150" s="7"/>
      <c r="E150" s="1"/>
      <c r="F150" s="5"/>
      <c r="G150" s="4"/>
      <c r="H150" s="3"/>
      <c r="I150" s="2"/>
      <c r="J150" s="1"/>
      <c r="K150" s="1"/>
      <c r="L150" s="1"/>
    </row>
    <row r="151" spans="1:12" s="6" customFormat="1" ht="39.75" customHeight="1">
      <c r="A151" s="151" t="s">
        <v>1</v>
      </c>
      <c r="B151" s="151"/>
      <c r="C151" s="33"/>
      <c r="D151" s="151" t="s">
        <v>0</v>
      </c>
      <c r="E151" s="151"/>
      <c r="F151" s="30"/>
      <c r="G151" s="4"/>
      <c r="H151" s="3"/>
      <c r="I151" s="2"/>
      <c r="J151" s="1"/>
      <c r="K151" s="1"/>
      <c r="L151" s="1"/>
    </row>
    <row r="152" spans="1:12" s="6" customFormat="1" ht="15.75" customHeight="1">
      <c r="A152" s="35"/>
      <c r="B152" s="34"/>
      <c r="C152" s="33"/>
      <c r="D152" s="32"/>
      <c r="E152" s="31"/>
      <c r="F152" s="30"/>
      <c r="G152" s="4"/>
      <c r="H152" s="3"/>
      <c r="I152" s="2"/>
      <c r="J152" s="1"/>
      <c r="K152" s="1"/>
      <c r="L152" s="1"/>
    </row>
    <row r="153" spans="1:12" s="6" customFormat="1" ht="18.75">
      <c r="A153" s="29"/>
      <c r="B153" s="28"/>
      <c r="C153" s="27"/>
      <c r="D153" s="26"/>
      <c r="E153" s="20"/>
      <c r="F153" s="25"/>
      <c r="G153" s="4"/>
      <c r="H153" s="3"/>
      <c r="I153" s="2"/>
      <c r="J153" s="1"/>
      <c r="K153" s="1"/>
      <c r="L153" s="1"/>
    </row>
    <row r="154" spans="1:12" s="6" customFormat="1" ht="18.75">
      <c r="A154" s="18"/>
      <c r="B154" s="24"/>
      <c r="C154" s="23"/>
      <c r="D154" s="22"/>
      <c r="E154" s="19"/>
      <c r="F154" s="21"/>
      <c r="G154" s="4"/>
      <c r="H154" s="3"/>
      <c r="I154" s="2"/>
      <c r="J154" s="1"/>
      <c r="K154" s="1"/>
      <c r="L154" s="1"/>
    </row>
    <row r="155" spans="1:12" s="6" customFormat="1" ht="15" customHeight="1">
      <c r="A155" s="9"/>
      <c r="B155" s="20"/>
      <c r="C155" s="16"/>
      <c r="D155" s="15"/>
      <c r="E155" s="14"/>
      <c r="F155" s="13"/>
      <c r="G155" s="4"/>
      <c r="H155" s="3"/>
      <c r="I155" s="2"/>
      <c r="J155" s="1"/>
      <c r="K155" s="1"/>
      <c r="L155" s="1"/>
    </row>
    <row r="156" spans="1:12" s="6" customFormat="1" ht="15" customHeight="1">
      <c r="A156" s="18"/>
      <c r="B156" s="19"/>
      <c r="C156" s="16"/>
      <c r="D156" s="15"/>
      <c r="E156" s="14"/>
      <c r="F156" s="13"/>
      <c r="G156" s="4"/>
      <c r="H156" s="3"/>
      <c r="I156" s="2"/>
      <c r="J156" s="1"/>
      <c r="K156" s="1"/>
      <c r="L156" s="1"/>
    </row>
    <row r="157" spans="1:12" s="6" customFormat="1" ht="15.75" customHeight="1">
      <c r="A157" s="18"/>
      <c r="B157" s="17"/>
      <c r="C157" s="16"/>
      <c r="D157" s="15"/>
      <c r="E157" s="14"/>
      <c r="F157" s="13"/>
      <c r="G157" s="4"/>
      <c r="H157" s="3"/>
      <c r="I157" s="2"/>
      <c r="J157" s="1"/>
      <c r="K157" s="1"/>
      <c r="L157" s="1"/>
    </row>
    <row r="158" spans="1:12" s="6" customFormat="1">
      <c r="A158" s="9"/>
      <c r="B158" s="12"/>
      <c r="C158" s="7"/>
      <c r="E158" s="1"/>
      <c r="F158" s="5"/>
      <c r="G158" s="4"/>
      <c r="H158" s="3"/>
      <c r="I158" s="2"/>
      <c r="J158" s="1"/>
      <c r="K158" s="1"/>
      <c r="L158" s="1"/>
    </row>
    <row r="159" spans="1:12" s="6" customFormat="1">
      <c r="A159" s="9"/>
      <c r="B159" s="11"/>
      <c r="C159" s="7"/>
      <c r="E159" s="1"/>
      <c r="F159" s="5"/>
      <c r="G159" s="4"/>
      <c r="H159" s="3"/>
      <c r="I159" s="2"/>
      <c r="J159" s="1"/>
      <c r="K159" s="1"/>
      <c r="L159" s="1"/>
    </row>
    <row r="166" spans="1:12" s="7" customFormat="1">
      <c r="A166" s="9"/>
      <c r="B166" s="10"/>
      <c r="D166" s="6"/>
      <c r="E166" s="1"/>
      <c r="F166" s="5"/>
      <c r="G166" s="4"/>
      <c r="H166" s="3"/>
      <c r="I166" s="2"/>
      <c r="J166" s="1"/>
      <c r="K166" s="1"/>
      <c r="L166" s="1"/>
    </row>
  </sheetData>
  <mergeCells count="9">
    <mergeCell ref="A149:B149"/>
    <mergeCell ref="A151:B151"/>
    <mergeCell ref="D151:E151"/>
    <mergeCell ref="A1:E1"/>
    <mergeCell ref="C2:E2"/>
    <mergeCell ref="A86:A97"/>
    <mergeCell ref="A102:A116"/>
    <mergeCell ref="A129:A138"/>
    <mergeCell ref="A141:A142"/>
  </mergeCells>
  <pageMargins left="0.51181102362204722" right="0.19685039370078741" top="0.39370078740157483" bottom="0.19685039370078741" header="0.51181102362204722" footer="0.51181102362204722"/>
  <pageSetup paperSize="9" scale="57" fitToWidth="2" fitToHeight="2" orientation="portrait" r:id="rId1"/>
  <headerFooter alignWithMargins="0"/>
  <rowBreaks count="3" manualBreakCount="3">
    <brk id="63" max="4" man="1"/>
    <brk id="103" max="4" man="1"/>
    <brk id="13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01.01.23 </vt:lpstr>
      <vt:lpstr>'01.01.23 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Сергеевна Анисимова</dc:creator>
  <cp:lastModifiedBy>Ирина Сергеевна Анисимова</cp:lastModifiedBy>
  <cp:lastPrinted>2023-03-24T07:19:20Z</cp:lastPrinted>
  <dcterms:created xsi:type="dcterms:W3CDTF">2023-03-24T07:00:01Z</dcterms:created>
  <dcterms:modified xsi:type="dcterms:W3CDTF">2023-03-24T07:19:22Z</dcterms:modified>
</cp:coreProperties>
</file>